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020 на 1м.кв." sheetId="1" r:id="rId1"/>
    <sheet name="2020" sheetId="2" r:id="rId2"/>
    <sheet name="2021" sheetId="3" r:id="rId3"/>
    <sheet name="накопления" sheetId="4" r:id="rId4"/>
    <sheet name="помесячно" sheetId="5" r:id="rId5"/>
    <sheet name="помесячно для собствен." sheetId="6" r:id="rId6"/>
    <sheet name="описание работ" sheetId="7" r:id="rId7"/>
  </sheets>
  <definedNames/>
  <calcPr fullCalcOnLoad="1"/>
</workbook>
</file>

<file path=xl/sharedStrings.xml><?xml version="1.0" encoding="utf-8"?>
<sst xmlns="http://schemas.openxmlformats.org/spreadsheetml/2006/main" count="245" uniqueCount="139">
  <si>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</si>
  <si>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</si>
  <si>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</si>
  <si>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</si>
  <si>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</si>
  <si>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</si>
  <si>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Работы на кровле</t>
  </si>
  <si>
    <t>Проверка наличия тяги в венканалах (ВДПО)</t>
  </si>
  <si>
    <t>Налоги</t>
  </si>
  <si>
    <t>Всего затрат</t>
  </si>
  <si>
    <t>Фасадные работы, входная группа(окна, двери,крыльца, скамейки, фундаменты стены, полы)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</si>
  <si>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</si>
  <si>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</si>
  <si>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 xml:space="preserve">Прочистка венканалов,  ремонт дымовых труб 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</si>
  <si>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</si>
  <si>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</si>
  <si>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2 ул.Красноармейская</t>
  </si>
  <si>
    <t>Администрация ООО "ТэксДом"</t>
  </si>
  <si>
    <t xml:space="preserve">                        ООО       "ТэксДом" </t>
  </si>
  <si>
    <t>Замер сопротивления изоляции</t>
  </si>
  <si>
    <t>за 2020 год.</t>
  </si>
  <si>
    <t>Обработка подъездов</t>
  </si>
  <si>
    <r>
      <t>Остаток</t>
    </r>
    <r>
      <rPr>
        <sz val="16"/>
        <rFont val="Arial"/>
        <family val="2"/>
      </rPr>
      <t xml:space="preserve"> средств на лицевом счете на 01.01.2021 г.</t>
    </r>
  </si>
  <si>
    <t>Задолженность за квартиросъемщиками за коммунальные услуги на 01.02.21 года.</t>
  </si>
  <si>
    <t>Сбрасывание снега с крыш и удаление сосулек(зима), покос травы (лето)</t>
  </si>
  <si>
    <t>Ведомость накопления  доходов адресно по жилым домам ООО "ТэксДом"</t>
  </si>
  <si>
    <t xml:space="preserve">Адрес </t>
  </si>
  <si>
    <t>2015 год</t>
  </si>
  <si>
    <t>Накопления на 01.01.  2016 г.</t>
  </si>
  <si>
    <t>2016 год</t>
  </si>
  <si>
    <t>Накопления на 01.01.  2017 г.</t>
  </si>
  <si>
    <t>2017 год</t>
  </si>
  <si>
    <t>Накопления на 01.01.  2018 г.</t>
  </si>
  <si>
    <t>2018 год</t>
  </si>
  <si>
    <t>Накопления на 01.01.  2019 г.</t>
  </si>
  <si>
    <t>2019 год</t>
  </si>
  <si>
    <t>Накопления на 01.01.  2020 г.</t>
  </si>
  <si>
    <t>2020 год</t>
  </si>
  <si>
    <t>Накопления на 01.01.  2021 г.</t>
  </si>
  <si>
    <t xml:space="preserve">затраты за 2015г. </t>
  </si>
  <si>
    <t xml:space="preserve">доходы за 2016г. </t>
  </si>
  <si>
    <t xml:space="preserve">затраты за 2016г. </t>
  </si>
  <si>
    <t xml:space="preserve">доходы за 2017г. </t>
  </si>
  <si>
    <t xml:space="preserve">доходы за 2018г. </t>
  </si>
  <si>
    <t xml:space="preserve">доходы за 2019г. </t>
  </si>
  <si>
    <t xml:space="preserve">доходы за 2020г. </t>
  </si>
  <si>
    <t xml:space="preserve">затраты за 2020 г. </t>
  </si>
  <si>
    <t>Красноармейская д.2</t>
  </si>
  <si>
    <t xml:space="preserve">затраты за     2017 г. </t>
  </si>
  <si>
    <t xml:space="preserve">затраты за     2018 г. </t>
  </si>
  <si>
    <t xml:space="preserve">затраты за    2019 г. </t>
  </si>
  <si>
    <t xml:space="preserve">доходы за     2015г. </t>
  </si>
  <si>
    <t xml:space="preserve">Затраты по предоставлению   услуг по содержанию </t>
  </si>
  <si>
    <t>ул.Красноармейская д.2</t>
  </si>
  <si>
    <t>Месяц</t>
  </si>
  <si>
    <t xml:space="preserve">Полезная площадь </t>
  </si>
  <si>
    <t xml:space="preserve">Начисление  на техническое  обслуживание  жилья </t>
  </si>
  <si>
    <t xml:space="preserve">Расходы </t>
  </si>
  <si>
    <t xml:space="preserve">                  ИТОГО </t>
  </si>
  <si>
    <t>Отклонение  ( доходы - расходы)</t>
  </si>
  <si>
    <t xml:space="preserve">Заработная плата  АУП с отчислениями </t>
  </si>
  <si>
    <t xml:space="preserve">Содержание админ. здания </t>
  </si>
  <si>
    <t>Прочие расходы(команд.,связь, прочие)</t>
  </si>
  <si>
    <t>Рентабельность</t>
  </si>
  <si>
    <t xml:space="preserve">Бак. и хим. анализ воды </t>
  </si>
  <si>
    <t xml:space="preserve">Техническая инвентаризация МКД </t>
  </si>
  <si>
    <t xml:space="preserve">Проведение тех.осмотров </t>
  </si>
  <si>
    <t>Регулировка и наладка с-мы отопления</t>
  </si>
  <si>
    <t>ремонт подъездов</t>
  </si>
  <si>
    <t xml:space="preserve">замена  и восстановление  с-мы отопления </t>
  </si>
  <si>
    <t xml:space="preserve">замена  и восстановление  с-мы водопровода и канализации </t>
  </si>
  <si>
    <t xml:space="preserve">замена  и восстановление  эл.устройств </t>
  </si>
  <si>
    <t>контейнерные площадки</t>
  </si>
  <si>
    <t xml:space="preserve">Противопожарные мероприятия </t>
  </si>
  <si>
    <t xml:space="preserve">Крыши </t>
  </si>
  <si>
    <t xml:space="preserve">прочистка венканалов и ремонт печей </t>
  </si>
  <si>
    <t>Полы</t>
  </si>
  <si>
    <t>Фундаменты , стены и перегородки</t>
  </si>
  <si>
    <t xml:space="preserve">Окна, двери </t>
  </si>
  <si>
    <t xml:space="preserve">Оплата за электроэнергию  МОП </t>
  </si>
  <si>
    <t xml:space="preserve">Земельный </t>
  </si>
  <si>
    <t>ЕСН , охрана окружающей среды</t>
  </si>
  <si>
    <t xml:space="preserve">Замеры сопротивления изоляции проводов </t>
  </si>
  <si>
    <t xml:space="preserve">Проверка наличии тяги  в венканалах </t>
  </si>
  <si>
    <t xml:space="preserve">Обработка огнезащитным составом </t>
  </si>
  <si>
    <t>крыльца,лавочки</t>
  </si>
  <si>
    <t>Январь</t>
  </si>
  <si>
    <t>Февраль</t>
  </si>
  <si>
    <t>Март</t>
  </si>
  <si>
    <t>ИТОГО за квартал</t>
  </si>
  <si>
    <t>Апрель</t>
  </si>
  <si>
    <t>Май</t>
  </si>
  <si>
    <t>Июнь</t>
  </si>
  <si>
    <t>ИТОГО за полугодие</t>
  </si>
  <si>
    <t>Июль</t>
  </si>
  <si>
    <t>Август</t>
  </si>
  <si>
    <t>Сентябрь</t>
  </si>
  <si>
    <t>ИТОГО за 9 м-цев</t>
  </si>
  <si>
    <t>Октябрь</t>
  </si>
  <si>
    <t>Ноябрь</t>
  </si>
  <si>
    <t>Декабрь</t>
  </si>
  <si>
    <t>ИТОГО за год</t>
  </si>
  <si>
    <r>
      <t xml:space="preserve">жилищного фонда  ООО "Жилкомсервис" за  </t>
    </r>
    <r>
      <rPr>
        <b/>
        <sz val="10"/>
        <rFont val="Arial Cyr"/>
        <family val="0"/>
      </rPr>
      <t>2020</t>
    </r>
    <r>
      <rPr>
        <sz val="8"/>
        <rFont val="Arial Cyr"/>
        <family val="2"/>
      </rPr>
      <t xml:space="preserve"> год </t>
    </r>
  </si>
  <si>
    <t>Общехозяйственные расходы (содержание админ.здания, связь, обслуживание орг.техники, з/пл.АУП, налоги)</t>
  </si>
  <si>
    <t xml:space="preserve">Сбрасывание снега с крыш и удаление сосулек(зима), покос травы (лето) </t>
  </si>
  <si>
    <t>АДС</t>
  </si>
  <si>
    <r>
      <t xml:space="preserve">жилищного фонда  ООО "ТэксДом" за  </t>
    </r>
    <r>
      <rPr>
        <b/>
        <sz val="10"/>
        <rFont val="Arial Cyr"/>
        <family val="0"/>
      </rPr>
      <t>2020</t>
    </r>
    <r>
      <rPr>
        <sz val="8"/>
        <rFont val="Arial Cyr"/>
        <family val="2"/>
      </rPr>
      <t xml:space="preserve"> год </t>
    </r>
  </si>
  <si>
    <t>в жилом доме   № 2  по улице  Красноармейская</t>
  </si>
  <si>
    <t xml:space="preserve">Месяц </t>
  </si>
  <si>
    <t xml:space="preserve">ОПИСАНИЕ РАБОТЫ </t>
  </si>
  <si>
    <t>часы</t>
  </si>
  <si>
    <t xml:space="preserve"> ревизия эл.щитов.</t>
  </si>
  <si>
    <t xml:space="preserve">Март </t>
  </si>
  <si>
    <t>1п. Устранение засора ц.канализации</t>
  </si>
  <si>
    <t>Удаление наледи с кровли</t>
  </si>
  <si>
    <t>2 п. сброс наледи с козырька,укрепление козырька с помощью пиломатериала</t>
  </si>
  <si>
    <t>кв.9 устранение протечки на ц.трубе водопровода со вскрытием полов в комнате</t>
  </si>
  <si>
    <t>1п. Установка плафона на коридорное освещение и замена лампочки на улице</t>
  </si>
  <si>
    <t>кв.15 устранение засора ц.канализации</t>
  </si>
  <si>
    <t>кв.8, 13 устранение протечек вокруг труб на кровле</t>
  </si>
  <si>
    <t>обработка подъездов антисептиком</t>
  </si>
  <si>
    <t>кв.8 установка заглушек на вводе отопления</t>
  </si>
  <si>
    <t>Покос травы</t>
  </si>
  <si>
    <t>кв.4 устранение протечки на канализац.стояке под полом</t>
  </si>
  <si>
    <t>Пуск отопления, регулировка</t>
  </si>
  <si>
    <t>устранение засора центральной канализации</t>
  </si>
  <si>
    <t>кв.21 регулировка отопления</t>
  </si>
  <si>
    <t>утепление труб ц.отопления</t>
  </si>
  <si>
    <t>2п. Укрепление столбиков у входа</t>
  </si>
  <si>
    <t>устранение засора ц.канализации</t>
  </si>
  <si>
    <t>ревизия межэтажных щитов, замена лампочки</t>
  </si>
  <si>
    <t>1,3 п. набивка планок в дверной притвор</t>
  </si>
  <si>
    <t>уборка наледи с кровли</t>
  </si>
  <si>
    <t xml:space="preserve">Краткое описание работ , производимых  работниками ООО "ТэксДом" за 2020 год </t>
  </si>
  <si>
    <t>Бак.и хим. анализ воды</t>
  </si>
  <si>
    <t>за 2022 год.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</si>
  <si>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</si>
  <si>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r>
      <t>Остаток</t>
    </r>
    <r>
      <rPr>
        <sz val="16"/>
        <rFont val="Arial"/>
        <family val="2"/>
      </rPr>
      <t xml:space="preserve"> средств на лицевом счете на 01.01.2023 г.</t>
    </r>
  </si>
  <si>
    <t>Задолженность за квартиросъемщиками за коммунальные услуги на 01.02.23 года.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</si>
</sst>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  <numFmt numFmtId="189" formatCode="0.00_ ;[Red]\-0.00\ "/>
    <numFmt numFmtId="190" formatCode="0.0_ ;[Red]\-0.0\ "/>
    <numFmt numFmtId="191" formatCode="0.000000_ ;[Red]\-0.000000\ "/>
  </numFmts>
  <fonts count="62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 Cyr"/>
      <family val="2"/>
    </font>
    <font>
      <sz val="7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0" fillId="0" borderId="12" xfId="0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89" fontId="9" fillId="0" borderId="10" xfId="0" applyNumberFormat="1" applyFont="1" applyFill="1" applyBorder="1" applyAlignment="1">
      <alignment/>
    </xf>
    <xf numFmtId="189" fontId="15" fillId="0" borderId="0" xfId="52" applyNumberFormat="1" applyFont="1" applyAlignment="1">
      <alignment horizontal="center"/>
      <protection/>
    </xf>
    <xf numFmtId="189" fontId="21" fillId="0" borderId="0" xfId="52" applyNumberFormat="1" applyFont="1" applyBorder="1">
      <alignment/>
      <protection/>
    </xf>
    <xf numFmtId="188" fontId="15" fillId="33" borderId="13" xfId="52" applyNumberFormat="1" applyFont="1" applyFill="1" applyBorder="1" applyAlignment="1">
      <alignment horizontal="center" textRotation="90" wrapText="1"/>
      <protection/>
    </xf>
    <xf numFmtId="188" fontId="15" fillId="33" borderId="11" xfId="52" applyNumberFormat="1" applyFont="1" applyFill="1" applyBorder="1" applyAlignment="1">
      <alignment horizontal="center" textRotation="90" wrapText="1"/>
      <protection/>
    </xf>
    <xf numFmtId="188" fontId="15" fillId="33" borderId="14" xfId="52" applyNumberFormat="1" applyFont="1" applyFill="1" applyBorder="1" applyAlignment="1">
      <alignment horizontal="center" textRotation="90" wrapText="1"/>
      <protection/>
    </xf>
    <xf numFmtId="188" fontId="21" fillId="0" borderId="10" xfId="52" applyNumberFormat="1" applyFont="1" applyBorder="1">
      <alignment/>
      <protection/>
    </xf>
    <xf numFmtId="189" fontId="21" fillId="0" borderId="10" xfId="52" applyNumberFormat="1" applyFont="1" applyBorder="1">
      <alignment/>
      <protection/>
    </xf>
    <xf numFmtId="190" fontId="22" fillId="0" borderId="10" xfId="52" applyNumberFormat="1" applyFont="1" applyBorder="1" applyAlignment="1">
      <alignment horizontal="center"/>
      <protection/>
    </xf>
    <xf numFmtId="188" fontId="23" fillId="0" borderId="10" xfId="52" applyNumberFormat="1" applyFont="1" applyBorder="1" applyAlignment="1">
      <alignment horizontal="center"/>
      <protection/>
    </xf>
    <xf numFmtId="188" fontId="23" fillId="0" borderId="10" xfId="52" applyNumberFormat="1" applyFont="1" applyFill="1" applyBorder="1" applyAlignment="1">
      <alignment horizontal="center"/>
      <protection/>
    </xf>
    <xf numFmtId="0" fontId="0" fillId="0" borderId="0" xfId="52">
      <alignment/>
      <protection/>
    </xf>
    <xf numFmtId="189" fontId="21" fillId="0" borderId="10" xfId="52" applyNumberFormat="1" applyFont="1" applyFill="1" applyBorder="1">
      <alignment/>
      <protection/>
    </xf>
    <xf numFmtId="190" fontId="23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188" fontId="23" fillId="0" borderId="10" xfId="0" applyNumberFormat="1" applyFont="1" applyFill="1" applyBorder="1" applyAlignment="1">
      <alignment horizontal="center"/>
    </xf>
    <xf numFmtId="188" fontId="23" fillId="0" borderId="10" xfId="0" applyNumberFormat="1" applyFont="1" applyBorder="1" applyAlignment="1">
      <alignment horizontal="center"/>
    </xf>
    <xf numFmtId="189" fontId="20" fillId="0" borderId="10" xfId="52" applyNumberFormat="1" applyFont="1" applyFill="1" applyBorder="1">
      <alignment/>
      <protection/>
    </xf>
    <xf numFmtId="188" fontId="20" fillId="0" borderId="10" xfId="52" applyNumberFormat="1" applyFont="1" applyBorder="1" applyAlignment="1">
      <alignment horizontal="center"/>
      <protection/>
    </xf>
    <xf numFmtId="188" fontId="20" fillId="0" borderId="10" xfId="0" applyNumberFormat="1" applyFont="1" applyBorder="1" applyAlignment="1">
      <alignment horizontal="center"/>
    </xf>
    <xf numFmtId="188" fontId="19" fillId="0" borderId="10" xfId="0" applyNumberFormat="1" applyFont="1" applyBorder="1" applyAlignment="1">
      <alignment/>
    </xf>
    <xf numFmtId="188" fontId="19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91" fontId="21" fillId="0" borderId="0" xfId="0" applyNumberFormat="1" applyFont="1" applyBorder="1" applyAlignment="1">
      <alignment/>
    </xf>
    <xf numFmtId="189" fontId="21" fillId="0" borderId="0" xfId="0" applyNumberFormat="1" applyFont="1" applyBorder="1" applyAlignment="1">
      <alignment/>
    </xf>
    <xf numFmtId="189" fontId="21" fillId="0" borderId="0" xfId="0" applyNumberFormat="1" applyFont="1" applyAlignment="1">
      <alignment/>
    </xf>
    <xf numFmtId="189" fontId="24" fillId="0" borderId="10" xfId="0" applyNumberFormat="1" applyFont="1" applyBorder="1" applyAlignment="1">
      <alignment/>
    </xf>
    <xf numFmtId="191" fontId="21" fillId="0" borderId="10" xfId="0" applyNumberFormat="1" applyFont="1" applyBorder="1" applyAlignment="1">
      <alignment/>
    </xf>
    <xf numFmtId="189" fontId="2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189" fontId="20" fillId="0" borderId="10" xfId="52" applyNumberFormat="1" applyFont="1" applyFill="1" applyBorder="1" applyAlignment="1">
      <alignment horizontal="left"/>
      <protection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14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5" fillId="0" borderId="2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5" fillId="0" borderId="22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8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6" fillId="0" borderId="32" xfId="0" applyFont="1" applyBorder="1" applyAlignment="1">
      <alignment horizontal="center"/>
    </xf>
    <xf numFmtId="0" fontId="25" fillId="0" borderId="33" xfId="0" applyFont="1" applyBorder="1" applyAlignment="1">
      <alignment/>
    </xf>
    <xf numFmtId="0" fontId="27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189" fontId="15" fillId="0" borderId="0" xfId="52" applyNumberFormat="1" applyFont="1" applyAlignment="1">
      <alignment horizontal="center"/>
      <protection/>
    </xf>
    <xf numFmtId="189" fontId="17" fillId="0" borderId="36" xfId="52" applyNumberFormat="1" applyFont="1" applyBorder="1" applyAlignment="1">
      <alignment horizontal="center"/>
      <protection/>
    </xf>
    <xf numFmtId="189" fontId="18" fillId="0" borderId="36" xfId="52" applyNumberFormat="1" applyFont="1" applyBorder="1" applyAlignment="1">
      <alignment horizontal="center"/>
      <protection/>
    </xf>
    <xf numFmtId="189" fontId="19" fillId="0" borderId="37" xfId="52" applyNumberFormat="1" applyFont="1" applyBorder="1" applyAlignment="1">
      <alignment horizontal="center" wrapText="1"/>
      <protection/>
    </xf>
    <xf numFmtId="189" fontId="19" fillId="0" borderId="38" xfId="52" applyNumberFormat="1" applyFont="1" applyBorder="1" applyAlignment="1">
      <alignment horizontal="center" wrapText="1"/>
      <protection/>
    </xf>
    <xf numFmtId="189" fontId="19" fillId="0" borderId="39" xfId="52" applyNumberFormat="1" applyFont="1" applyBorder="1" applyAlignment="1">
      <alignment horizontal="center" wrapText="1"/>
      <protection/>
    </xf>
    <xf numFmtId="189" fontId="20" fillId="0" borderId="22" xfId="52" applyNumberFormat="1" applyFont="1" applyBorder="1" applyAlignment="1">
      <alignment horizontal="center" wrapText="1"/>
      <protection/>
    </xf>
    <xf numFmtId="189" fontId="20" fillId="0" borderId="10" xfId="52" applyNumberFormat="1" applyFont="1" applyBorder="1" applyAlignment="1">
      <alignment horizontal="center" wrapText="1"/>
      <protection/>
    </xf>
    <xf numFmtId="189" fontId="20" fillId="0" borderId="13" xfId="52" applyNumberFormat="1" applyFont="1" applyBorder="1" applyAlignment="1">
      <alignment horizontal="center" wrapText="1"/>
      <protection/>
    </xf>
    <xf numFmtId="189" fontId="15" fillId="0" borderId="20" xfId="52" applyNumberFormat="1" applyFont="1" applyBorder="1" applyAlignment="1">
      <alignment horizontal="center" vertical="center" textRotation="90" wrapText="1"/>
      <protection/>
    </xf>
    <xf numFmtId="189" fontId="15" fillId="0" borderId="11" xfId="52" applyNumberFormat="1" applyFont="1" applyBorder="1" applyAlignment="1">
      <alignment horizontal="center" vertical="center" textRotation="90" wrapText="1"/>
      <protection/>
    </xf>
    <xf numFmtId="189" fontId="15" fillId="34" borderId="20" xfId="52" applyNumberFormat="1" applyFont="1" applyFill="1" applyBorder="1" applyAlignment="1">
      <alignment horizontal="center" textRotation="90" wrapText="1"/>
      <protection/>
    </xf>
    <xf numFmtId="189" fontId="15" fillId="34" borderId="11" xfId="52" applyNumberFormat="1" applyFont="1" applyFill="1" applyBorder="1" applyAlignment="1">
      <alignment horizontal="center" textRotation="90" wrapText="1"/>
      <protection/>
    </xf>
    <xf numFmtId="189" fontId="15" fillId="34" borderId="14" xfId="52" applyNumberFormat="1" applyFont="1" applyFill="1" applyBorder="1" applyAlignment="1">
      <alignment horizontal="center" textRotation="90" wrapText="1"/>
      <protection/>
    </xf>
    <xf numFmtId="189" fontId="19" fillId="33" borderId="40" xfId="52" applyNumberFormat="1" applyFont="1" applyFill="1" applyBorder="1" applyAlignment="1">
      <alignment horizontal="center" wrapText="1"/>
      <protection/>
    </xf>
    <xf numFmtId="189" fontId="19" fillId="33" borderId="41" xfId="52" applyNumberFormat="1" applyFont="1" applyFill="1" applyBorder="1" applyAlignment="1">
      <alignment horizontal="center" wrapText="1"/>
      <protection/>
    </xf>
    <xf numFmtId="189" fontId="19" fillId="0" borderId="22" xfId="52" applyNumberFormat="1" applyFont="1" applyBorder="1" applyAlignment="1">
      <alignment horizontal="center" textRotation="90" wrapText="1"/>
      <protection/>
    </xf>
    <xf numFmtId="189" fontId="19" fillId="0" borderId="10" xfId="52" applyNumberFormat="1" applyFont="1" applyBorder="1" applyAlignment="1">
      <alignment horizontal="center" textRotation="90" wrapText="1"/>
      <protection/>
    </xf>
    <xf numFmtId="189" fontId="19" fillId="0" borderId="13" xfId="52" applyNumberFormat="1" applyFont="1" applyBorder="1" applyAlignment="1">
      <alignment horizontal="center" textRotation="90" wrapText="1"/>
      <protection/>
    </xf>
    <xf numFmtId="189" fontId="15" fillId="33" borderId="13" xfId="52" applyNumberFormat="1" applyFont="1" applyFill="1" applyBorder="1" applyAlignment="1">
      <alignment horizontal="center" textRotation="90" wrapText="1"/>
      <protection/>
    </xf>
    <xf numFmtId="189" fontId="15" fillId="33" borderId="11" xfId="52" applyNumberFormat="1" applyFont="1" applyFill="1" applyBorder="1" applyAlignment="1">
      <alignment horizontal="center" textRotation="90" wrapText="1"/>
      <protection/>
    </xf>
    <xf numFmtId="188" fontId="15" fillId="33" borderId="10" xfId="52" applyNumberFormat="1" applyFont="1" applyFill="1" applyBorder="1" applyAlignment="1">
      <alignment horizontal="center" textRotation="89" wrapText="1"/>
      <protection/>
    </xf>
    <xf numFmtId="188" fontId="15" fillId="33" borderId="13" xfId="52" applyNumberFormat="1" applyFont="1" applyFill="1" applyBorder="1" applyAlignment="1">
      <alignment horizontal="center" textRotation="89" wrapText="1"/>
      <protection/>
    </xf>
    <xf numFmtId="189" fontId="19" fillId="33" borderId="10" xfId="52" applyNumberFormat="1" applyFont="1" applyFill="1" applyBorder="1" applyAlignment="1">
      <alignment horizontal="center" wrapText="1"/>
      <protection/>
    </xf>
    <xf numFmtId="189" fontId="15" fillId="33" borderId="13" xfId="52" applyNumberFormat="1" applyFont="1" applyFill="1" applyBorder="1" applyAlignment="1">
      <alignment horizontal="center" textRotation="90" wrapText="1"/>
      <protection/>
    </xf>
    <xf numFmtId="189" fontId="15" fillId="33" borderId="11" xfId="52" applyNumberFormat="1" applyFont="1" applyFill="1" applyBorder="1" applyAlignment="1">
      <alignment horizontal="center" textRotation="90" wrapText="1"/>
      <protection/>
    </xf>
    <xf numFmtId="189" fontId="15" fillId="33" borderId="14" xfId="52" applyNumberFormat="1" applyFont="1" applyFill="1" applyBorder="1" applyAlignment="1">
      <alignment horizontal="center" textRotation="90" wrapText="1"/>
      <protection/>
    </xf>
    <xf numFmtId="188" fontId="15" fillId="33" borderId="13" xfId="52" applyNumberFormat="1" applyFont="1" applyFill="1" applyBorder="1" applyAlignment="1">
      <alignment horizontal="center" textRotation="90" wrapText="1"/>
      <protection/>
    </xf>
    <xf numFmtId="188" fontId="15" fillId="33" borderId="11" xfId="52" applyNumberFormat="1" applyFont="1" applyFill="1" applyBorder="1" applyAlignment="1">
      <alignment horizontal="center" textRotation="90" wrapText="1"/>
      <protection/>
    </xf>
    <xf numFmtId="188" fontId="15" fillId="33" borderId="14" xfId="52" applyNumberFormat="1" applyFont="1" applyFill="1" applyBorder="1" applyAlignment="1">
      <alignment horizontal="center" textRotation="90" wrapText="1"/>
      <protection/>
    </xf>
    <xf numFmtId="188" fontId="15" fillId="33" borderId="10" xfId="52" applyNumberFormat="1" applyFont="1" applyFill="1" applyBorder="1" applyAlignment="1">
      <alignment horizontal="center" wrapText="1"/>
      <protection/>
    </xf>
    <xf numFmtId="189" fontId="15" fillId="33" borderId="42" xfId="52" applyNumberFormat="1" applyFont="1" applyFill="1" applyBorder="1" applyAlignment="1">
      <alignment horizontal="center" textRotation="89" wrapText="1"/>
      <protection/>
    </xf>
    <xf numFmtId="189" fontId="15" fillId="33" borderId="43" xfId="52" applyNumberFormat="1" applyFont="1" applyFill="1" applyBorder="1" applyAlignment="1">
      <alignment horizontal="center" textRotation="89" wrapText="1"/>
      <protection/>
    </xf>
    <xf numFmtId="189" fontId="15" fillId="33" borderId="44" xfId="52" applyNumberFormat="1" applyFont="1" applyFill="1" applyBorder="1" applyAlignment="1">
      <alignment horizontal="center" textRotation="89" wrapText="1"/>
      <protection/>
    </xf>
    <xf numFmtId="188" fontId="15" fillId="33" borderId="10" xfId="52" applyNumberFormat="1" applyFont="1" applyFill="1" applyBorder="1" applyAlignment="1">
      <alignment horizontal="center" textRotation="90" wrapText="1"/>
      <protection/>
    </xf>
    <xf numFmtId="188" fontId="21" fillId="33" borderId="13" xfId="52" applyNumberFormat="1" applyFont="1" applyFill="1" applyBorder="1" applyAlignment="1">
      <alignment horizontal="center" textRotation="90" wrapText="1"/>
      <protection/>
    </xf>
    <xf numFmtId="188" fontId="21" fillId="33" borderId="11" xfId="52" applyNumberFormat="1" applyFont="1" applyFill="1" applyBorder="1" applyAlignment="1">
      <alignment horizontal="center" textRotation="90" wrapText="1"/>
      <protection/>
    </xf>
    <xf numFmtId="188" fontId="21" fillId="33" borderId="14" xfId="52" applyNumberFormat="1" applyFont="1" applyFill="1" applyBorder="1" applyAlignment="1">
      <alignment horizontal="center" textRotation="90" wrapText="1"/>
      <protection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0">
      <selection activeCell="G15" sqref="G15"/>
    </sheetView>
  </sheetViews>
  <sheetFormatPr defaultColWidth="9.140625" defaultRowHeight="12.75"/>
  <cols>
    <col min="1" max="1" width="2.57421875" style="0" customWidth="1"/>
    <col min="2" max="2" width="67.57421875" style="0" customWidth="1"/>
    <col min="3" max="3" width="12.8515625" style="0" customWidth="1"/>
    <col min="4" max="4" width="5.8515625" style="0" customWidth="1"/>
  </cols>
  <sheetData>
    <row r="1" ht="17.25">
      <c r="B1" s="26" t="s">
        <v>18</v>
      </c>
    </row>
    <row r="2" spans="2:3" ht="16.5">
      <c r="B2" s="108" t="s">
        <v>16</v>
      </c>
      <c r="C2" s="108"/>
    </row>
    <row r="3" spans="2:3" ht="18">
      <c r="B3" s="15" t="s">
        <v>20</v>
      </c>
      <c r="C3" s="14"/>
    </row>
    <row r="4" spans="1:4" ht="30" customHeight="1">
      <c r="A4" s="3" t="s">
        <v>0</v>
      </c>
      <c r="B4" s="2" t="s">
        <v>2</v>
      </c>
      <c r="C4" s="3"/>
      <c r="D4" s="20"/>
    </row>
    <row r="5" spans="1:4" ht="19.5">
      <c r="A5" s="1">
        <v>1</v>
      </c>
      <c r="B5" s="4" t="s">
        <v>11</v>
      </c>
      <c r="C5" s="17">
        <v>185367</v>
      </c>
      <c r="D5" s="21">
        <f>C5/882.7/12</f>
        <v>17.5</v>
      </c>
    </row>
    <row r="6" spans="1:4" ht="15">
      <c r="A6" s="1">
        <v>2</v>
      </c>
      <c r="B6" s="4" t="s">
        <v>1</v>
      </c>
      <c r="C6" s="1"/>
      <c r="D6" s="21"/>
    </row>
    <row r="7" spans="1:4" ht="19.5">
      <c r="A7" s="13"/>
      <c r="B7" s="8" t="s">
        <v>3</v>
      </c>
      <c r="C7" s="9">
        <f>557+2581</f>
        <v>3138</v>
      </c>
      <c r="D7" s="21">
        <f aca="true" t="shared" si="0" ref="D7:D21">C7/882.7/12</f>
        <v>0.29625014161096636</v>
      </c>
    </row>
    <row r="8" spans="1:4" ht="19.5">
      <c r="A8" s="1"/>
      <c r="B8" s="6" t="s">
        <v>4</v>
      </c>
      <c r="C8" s="7">
        <f>11297-6319</f>
        <v>4978</v>
      </c>
      <c r="D8" s="21">
        <f t="shared" si="0"/>
        <v>0.4699595936709338</v>
      </c>
    </row>
    <row r="9" spans="1:4" ht="19.5">
      <c r="A9" s="1"/>
      <c r="B9" s="6" t="s">
        <v>5</v>
      </c>
      <c r="C9" s="7">
        <v>2986</v>
      </c>
      <c r="D9" s="21">
        <f t="shared" si="0"/>
        <v>0.2819002303538386</v>
      </c>
    </row>
    <row r="10" spans="1:4" ht="39.75">
      <c r="A10" s="1"/>
      <c r="B10" s="10" t="s">
        <v>24</v>
      </c>
      <c r="C10" s="7">
        <f>733+1274</f>
        <v>2007</v>
      </c>
      <c r="D10" s="21">
        <f t="shared" si="0"/>
        <v>0.1894754729806276</v>
      </c>
    </row>
    <row r="11" spans="1:4" ht="19.5">
      <c r="A11" s="1"/>
      <c r="B11" s="6" t="s">
        <v>6</v>
      </c>
      <c r="C11" s="7">
        <v>2735</v>
      </c>
      <c r="D11" s="21">
        <f t="shared" si="0"/>
        <v>0.25820399531739735</v>
      </c>
    </row>
    <row r="12" spans="1:4" ht="19.5">
      <c r="A12" s="1"/>
      <c r="B12" s="6" t="s">
        <v>7</v>
      </c>
      <c r="C12" s="7">
        <v>2068</v>
      </c>
      <c r="D12" s="21">
        <f t="shared" si="0"/>
        <v>0.19523431894565912</v>
      </c>
    </row>
    <row r="13" spans="1:4" ht="19.5">
      <c r="A13" s="1"/>
      <c r="B13" s="8" t="s">
        <v>19</v>
      </c>
      <c r="C13" s="9">
        <v>0</v>
      </c>
      <c r="D13" s="21">
        <f t="shared" si="0"/>
        <v>0</v>
      </c>
    </row>
    <row r="14" spans="1:4" ht="19.5">
      <c r="A14" s="1"/>
      <c r="B14" s="6" t="s">
        <v>13</v>
      </c>
      <c r="C14" s="7">
        <v>0</v>
      </c>
      <c r="D14" s="21">
        <f t="shared" si="0"/>
        <v>0</v>
      </c>
    </row>
    <row r="15" spans="1:4" ht="62.25" customHeight="1">
      <c r="A15" s="1"/>
      <c r="B15" s="10" t="s">
        <v>10</v>
      </c>
      <c r="C15" s="7">
        <f>334+612</f>
        <v>946</v>
      </c>
      <c r="D15" s="21">
        <f t="shared" si="0"/>
        <v>0.08930931611343983</v>
      </c>
    </row>
    <row r="16" spans="1:4" ht="19.5">
      <c r="A16" s="1"/>
      <c r="B16" s="6" t="s">
        <v>12</v>
      </c>
      <c r="C16" s="16">
        <f>0.76*882.7*12</f>
        <v>8050.224000000001</v>
      </c>
      <c r="D16" s="21">
        <f t="shared" si="0"/>
        <v>0.7600000000000001</v>
      </c>
    </row>
    <row r="17" spans="1:4" ht="19.5">
      <c r="A17" s="1"/>
      <c r="B17" s="6" t="s">
        <v>15</v>
      </c>
      <c r="C17" s="16">
        <f>0.7*882.7*12</f>
        <v>7414.68</v>
      </c>
      <c r="D17" s="21">
        <f t="shared" si="0"/>
        <v>0.7000000000000001</v>
      </c>
    </row>
    <row r="18" spans="1:4" ht="19.5">
      <c r="A18" s="1"/>
      <c r="B18" s="6" t="s">
        <v>21</v>
      </c>
      <c r="C18" s="7">
        <v>4359</v>
      </c>
      <c r="D18" s="21">
        <f t="shared" si="0"/>
        <v>0.4115214682224991</v>
      </c>
    </row>
    <row r="19" spans="1:4" ht="19.5">
      <c r="A19" s="1"/>
      <c r="B19" s="6" t="s">
        <v>8</v>
      </c>
      <c r="C19" s="7">
        <v>6786</v>
      </c>
      <c r="D19" s="21">
        <f t="shared" si="0"/>
        <v>0.6406480117820323</v>
      </c>
    </row>
    <row r="20" spans="1:4" ht="78" customHeight="1">
      <c r="A20" s="1"/>
      <c r="B20" s="10" t="s">
        <v>14</v>
      </c>
      <c r="C20" s="7">
        <f>48155+3861+13795+5402</f>
        <v>71213</v>
      </c>
      <c r="D20" s="21">
        <f t="shared" si="0"/>
        <v>6.723027831275253</v>
      </c>
    </row>
    <row r="21" spans="1:4" ht="19.5">
      <c r="A21" s="1">
        <v>3</v>
      </c>
      <c r="B21" s="11" t="s">
        <v>9</v>
      </c>
      <c r="C21" s="19">
        <f>SUM(C7:C20)</f>
        <v>116680.90400000001</v>
      </c>
      <c r="D21" s="21">
        <f t="shared" si="0"/>
        <v>11.015530380272649</v>
      </c>
    </row>
    <row r="22" spans="1:4" ht="39.75">
      <c r="A22" s="1">
        <v>4</v>
      </c>
      <c r="B22" s="12" t="s">
        <v>22</v>
      </c>
      <c r="C22" s="18">
        <f>C5-C21</f>
        <v>68686.09599999999</v>
      </c>
      <c r="D22" s="20"/>
    </row>
    <row r="23" spans="1:4" ht="38.25" customHeight="1">
      <c r="A23" s="1"/>
      <c r="B23" s="10" t="s">
        <v>23</v>
      </c>
      <c r="C23" s="7"/>
      <c r="D23" s="20"/>
    </row>
    <row r="24" spans="1:4" ht="32.25" customHeight="1">
      <c r="A24" s="22"/>
      <c r="B24" s="25"/>
      <c r="C24" s="23"/>
      <c r="D24" s="24"/>
    </row>
    <row r="26" ht="17.25">
      <c r="B26" s="5" t="s">
        <v>17</v>
      </c>
    </row>
  </sheetData>
  <sheetProtection/>
  <mergeCells count="1">
    <mergeCell ref="B2:C2"/>
  </mergeCells>
  <printOptions/>
  <pageMargins left="0.75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57421875" style="0" customWidth="1"/>
    <col min="2" max="2" width="67.57421875" style="0" customWidth="1"/>
    <col min="3" max="3" width="12.8515625" style="0" customWidth="1"/>
  </cols>
  <sheetData>
    <row r="1" ht="17.25">
      <c r="B1" s="26" t="s">
        <v>18</v>
      </c>
    </row>
    <row r="2" spans="2:3" ht="16.5">
      <c r="B2" s="108" t="s">
        <v>16</v>
      </c>
      <c r="C2" s="108"/>
    </row>
    <row r="3" spans="2:3" ht="18">
      <c r="B3" s="15" t="s">
        <v>20</v>
      </c>
      <c r="C3" s="14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11</v>
      </c>
      <c r="C5" s="17">
        <v>185367</v>
      </c>
    </row>
    <row r="6" spans="1:3" ht="15">
      <c r="A6" s="1">
        <v>2</v>
      </c>
      <c r="B6" s="4" t="s">
        <v>1</v>
      </c>
      <c r="C6" s="1"/>
    </row>
    <row r="7" spans="1:3" ht="19.5">
      <c r="A7" s="13"/>
      <c r="B7" s="8" t="s">
        <v>3</v>
      </c>
      <c r="C7" s="9">
        <f>557+2581</f>
        <v>3138</v>
      </c>
    </row>
    <row r="8" spans="1:3" ht="19.5">
      <c r="A8" s="1"/>
      <c r="B8" s="6" t="s">
        <v>4</v>
      </c>
      <c r="C8" s="7">
        <f>11297-6319</f>
        <v>4978</v>
      </c>
    </row>
    <row r="9" spans="1:3" ht="19.5">
      <c r="A9" s="1"/>
      <c r="B9" s="6" t="s">
        <v>5</v>
      </c>
      <c r="C9" s="7">
        <v>2986</v>
      </c>
    </row>
    <row r="10" spans="1:3" ht="39.75">
      <c r="A10" s="1"/>
      <c r="B10" s="10" t="s">
        <v>24</v>
      </c>
      <c r="C10" s="7">
        <f>733+1274</f>
        <v>2007</v>
      </c>
    </row>
    <row r="11" spans="1:3" ht="19.5">
      <c r="A11" s="1"/>
      <c r="B11" s="6" t="s">
        <v>6</v>
      </c>
      <c r="C11" s="7">
        <v>2735</v>
      </c>
    </row>
    <row r="12" spans="1:3" ht="19.5">
      <c r="A12" s="1"/>
      <c r="B12" s="6" t="s">
        <v>7</v>
      </c>
      <c r="C12" s="7">
        <v>2068</v>
      </c>
    </row>
    <row r="13" spans="1:3" ht="19.5">
      <c r="A13" s="1"/>
      <c r="B13" s="8" t="s">
        <v>19</v>
      </c>
      <c r="C13" s="9">
        <v>0</v>
      </c>
    </row>
    <row r="14" spans="1:3" ht="19.5">
      <c r="A14" s="1"/>
      <c r="B14" s="6" t="s">
        <v>13</v>
      </c>
      <c r="C14" s="7">
        <v>0</v>
      </c>
    </row>
    <row r="15" spans="1:3" ht="62.25" customHeight="1">
      <c r="A15" s="1"/>
      <c r="B15" s="10" t="s">
        <v>10</v>
      </c>
      <c r="C15" s="7">
        <f>334+612</f>
        <v>946</v>
      </c>
    </row>
    <row r="16" spans="1:3" ht="19.5">
      <c r="A16" s="1"/>
      <c r="B16" s="6" t="s">
        <v>12</v>
      </c>
      <c r="C16" s="16">
        <f>0.76*882.7*12</f>
        <v>8050.224000000001</v>
      </c>
    </row>
    <row r="17" spans="1:3" ht="19.5">
      <c r="A17" s="1"/>
      <c r="B17" s="6" t="s">
        <v>15</v>
      </c>
      <c r="C17" s="16">
        <f>0.7*882.7*12</f>
        <v>7414.68</v>
      </c>
    </row>
    <row r="18" spans="1:3" ht="19.5">
      <c r="A18" s="1"/>
      <c r="B18" s="6" t="s">
        <v>21</v>
      </c>
      <c r="C18" s="7">
        <v>4359</v>
      </c>
    </row>
    <row r="19" spans="1:3" ht="19.5">
      <c r="A19" s="1"/>
      <c r="B19" s="6" t="s">
        <v>8</v>
      </c>
      <c r="C19" s="7">
        <v>6786</v>
      </c>
    </row>
    <row r="20" spans="1:3" ht="78" customHeight="1">
      <c r="A20" s="1"/>
      <c r="B20" s="10" t="s">
        <v>14</v>
      </c>
      <c r="C20" s="7">
        <f>48155+3861+13795+5402</f>
        <v>71213</v>
      </c>
    </row>
    <row r="21" spans="1:3" ht="19.5">
      <c r="A21" s="1">
        <v>3</v>
      </c>
      <c r="B21" s="11" t="s">
        <v>9</v>
      </c>
      <c r="C21" s="19">
        <f>SUM(C7:C20)</f>
        <v>116680.90400000001</v>
      </c>
    </row>
    <row r="22" spans="1:3" ht="39.75">
      <c r="A22" s="1">
        <v>4</v>
      </c>
      <c r="B22" s="12" t="s">
        <v>22</v>
      </c>
      <c r="C22" s="18">
        <f>C5-C21</f>
        <v>68686.09599999999</v>
      </c>
    </row>
    <row r="23" spans="1:3" ht="38.25" customHeight="1">
      <c r="A23" s="1"/>
      <c r="B23" s="10" t="s">
        <v>23</v>
      </c>
      <c r="C23" s="7"/>
    </row>
    <row r="24" spans="1:3" ht="32.25" customHeight="1">
      <c r="A24" s="22"/>
      <c r="B24" s="25"/>
      <c r="C24" s="23"/>
    </row>
    <row r="26" ht="17.25">
      <c r="B26" s="5" t="s">
        <v>17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D1" sqref="D1:D16384"/>
    </sheetView>
  </sheetViews>
  <sheetFormatPr defaultColWidth="9.140625" defaultRowHeight="12.75"/>
  <cols>
    <col min="1" max="1" width="2.57421875" style="0" customWidth="1"/>
    <col min="2" max="2" width="69.28125" style="0" customWidth="1"/>
    <col min="3" max="3" width="12.8515625" style="0" customWidth="1"/>
  </cols>
  <sheetData>
    <row r="1" ht="17.25">
      <c r="B1" s="26" t="s">
        <v>18</v>
      </c>
    </row>
    <row r="2" spans="2:3" ht="16.5">
      <c r="B2" s="108" t="s">
        <v>16</v>
      </c>
      <c r="C2" s="108"/>
    </row>
    <row r="3" spans="2:3" ht="18">
      <c r="B3" s="15" t="s">
        <v>135</v>
      </c>
      <c r="C3" s="14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11</v>
      </c>
      <c r="C5" s="17">
        <v>190858</v>
      </c>
    </row>
    <row r="6" spans="1:3" ht="15">
      <c r="A6" s="1">
        <v>2</v>
      </c>
      <c r="B6" s="4" t="s">
        <v>1</v>
      </c>
      <c r="C6" s="1"/>
    </row>
    <row r="7" spans="1:3" ht="19.5">
      <c r="A7" s="13"/>
      <c r="B7" s="8" t="s">
        <v>3</v>
      </c>
      <c r="C7" s="9">
        <v>7535</v>
      </c>
    </row>
    <row r="8" spans="1:3" ht="19.5">
      <c r="A8" s="1"/>
      <c r="B8" s="6" t="s">
        <v>4</v>
      </c>
      <c r="C8" s="7">
        <f>34477-3157</f>
        <v>31320</v>
      </c>
    </row>
    <row r="9" spans="1:3" ht="19.5">
      <c r="A9" s="1"/>
      <c r="B9" s="6" t="s">
        <v>5</v>
      </c>
      <c r="C9" s="7">
        <v>6561</v>
      </c>
    </row>
    <row r="10" spans="1:3" ht="39.75">
      <c r="A10" s="1"/>
      <c r="B10" s="10" t="s">
        <v>24</v>
      </c>
      <c r="C10" s="7">
        <v>3114</v>
      </c>
    </row>
    <row r="11" spans="1:3" ht="19.5">
      <c r="A11" s="1"/>
      <c r="B11" s="6" t="s">
        <v>6</v>
      </c>
      <c r="C11" s="7">
        <v>414</v>
      </c>
    </row>
    <row r="12" spans="1:3" ht="19.5">
      <c r="A12" s="1"/>
      <c r="B12" s="6" t="s">
        <v>7</v>
      </c>
      <c r="C12" s="7">
        <v>1540</v>
      </c>
    </row>
    <row r="13" spans="1:3" ht="19.5">
      <c r="A13" s="1"/>
      <c r="B13" s="8" t="s">
        <v>19</v>
      </c>
      <c r="C13" s="9">
        <v>1200</v>
      </c>
    </row>
    <row r="14" spans="1:3" ht="19.5">
      <c r="A14" s="1"/>
      <c r="B14" s="6" t="s">
        <v>13</v>
      </c>
      <c r="C14" s="7">
        <v>2639</v>
      </c>
    </row>
    <row r="15" spans="1:3" ht="62.25" customHeight="1">
      <c r="A15" s="1"/>
      <c r="B15" s="10" t="s">
        <v>10</v>
      </c>
      <c r="C15" s="7">
        <f>5118+2070+2032</f>
        <v>9220</v>
      </c>
    </row>
    <row r="16" spans="1:3" ht="19.5">
      <c r="A16" s="1"/>
      <c r="B16" s="6" t="s">
        <v>12</v>
      </c>
      <c r="C16" s="16">
        <f>0.5*883.6*12</f>
        <v>5301.6</v>
      </c>
    </row>
    <row r="17" spans="1:3" ht="19.5">
      <c r="A17" s="1"/>
      <c r="B17" s="6" t="s">
        <v>15</v>
      </c>
      <c r="C17" s="16">
        <f>0.47*883.6*12</f>
        <v>4983.504</v>
      </c>
    </row>
    <row r="18" spans="1:3" ht="19.5">
      <c r="A18" s="1"/>
      <c r="B18" s="107" t="s">
        <v>134</v>
      </c>
      <c r="C18" s="7">
        <v>589</v>
      </c>
    </row>
    <row r="19" spans="1:3" ht="78" customHeight="1">
      <c r="A19" s="1"/>
      <c r="B19" s="10" t="s">
        <v>136</v>
      </c>
      <c r="C19" s="7">
        <f>53774+4861+12690+6581+7371</f>
        <v>85277</v>
      </c>
    </row>
    <row r="20" spans="1:3" ht="19.5">
      <c r="A20" s="1">
        <v>3</v>
      </c>
      <c r="B20" s="11" t="s">
        <v>9</v>
      </c>
      <c r="C20" s="19">
        <f>SUM(C7:C19)</f>
        <v>159694.104</v>
      </c>
    </row>
    <row r="21" spans="1:3" ht="39.75">
      <c r="A21" s="1">
        <v>4</v>
      </c>
      <c r="B21" s="12" t="s">
        <v>137</v>
      </c>
      <c r="C21" s="18">
        <f>C5-C20</f>
        <v>31163.896000000008</v>
      </c>
    </row>
    <row r="22" spans="1:3" ht="38.25" customHeight="1">
      <c r="A22" s="1"/>
      <c r="B22" s="10" t="s">
        <v>138</v>
      </c>
      <c r="C22" s="7"/>
    </row>
    <row r="23" spans="1:3" ht="32.25" customHeight="1">
      <c r="A23" s="22"/>
      <c r="B23" s="25"/>
      <c r="C23" s="23"/>
    </row>
    <row r="25" ht="17.25">
      <c r="B25" s="5" t="s">
        <v>17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11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7.140625" style="0" customWidth="1"/>
    <col min="2" max="2" width="21.421875" style="0" customWidth="1"/>
    <col min="3" max="3" width="8.421875" style="0" customWidth="1"/>
    <col min="4" max="4" width="7.8515625" style="0" customWidth="1"/>
    <col min="5" max="5" width="8.8515625" style="0" customWidth="1"/>
    <col min="6" max="6" width="7.8515625" style="0" customWidth="1"/>
    <col min="7" max="7" width="8.140625" style="0" customWidth="1"/>
    <col min="8" max="8" width="8.421875" style="0" customWidth="1"/>
    <col min="9" max="9" width="7.421875" style="0" customWidth="1"/>
    <col min="10" max="11" width="7.57421875" style="0" customWidth="1"/>
    <col min="12" max="12" width="7.421875" style="0" customWidth="1"/>
    <col min="13" max="14" width="8.421875" style="0" customWidth="1"/>
    <col min="15" max="15" width="7.57421875" style="0" customWidth="1"/>
    <col min="16" max="16" width="7.8515625" style="0" customWidth="1"/>
  </cols>
  <sheetData>
    <row r="2" spans="2:16" s="29" customFormat="1" ht="15">
      <c r="B2" s="109" t="s">
        <v>25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27"/>
    </row>
    <row r="3" spans="2:16" s="29" customFormat="1" ht="20.25" customHeight="1">
      <c r="B3" s="34"/>
      <c r="C3" s="28"/>
      <c r="D3" s="28"/>
      <c r="E3" s="30"/>
      <c r="I3" s="31"/>
      <c r="J3" s="31"/>
      <c r="N3" s="27"/>
      <c r="O3" s="27"/>
      <c r="P3" s="27"/>
    </row>
    <row r="4" spans="2:16" s="29" customFormat="1" ht="12.75" customHeight="1">
      <c r="B4" s="112" t="s">
        <v>26</v>
      </c>
      <c r="C4" s="113" t="s">
        <v>27</v>
      </c>
      <c r="D4" s="114"/>
      <c r="E4" s="111" t="s">
        <v>28</v>
      </c>
      <c r="F4" s="110" t="s">
        <v>29</v>
      </c>
      <c r="G4" s="110"/>
      <c r="H4" s="111" t="s">
        <v>30</v>
      </c>
      <c r="I4" s="110" t="s">
        <v>31</v>
      </c>
      <c r="J4" s="110"/>
      <c r="K4" s="111" t="s">
        <v>32</v>
      </c>
      <c r="L4" s="110" t="s">
        <v>33</v>
      </c>
      <c r="M4" s="110"/>
      <c r="N4" s="111" t="s">
        <v>34</v>
      </c>
      <c r="O4" s="110" t="s">
        <v>35</v>
      </c>
      <c r="P4" s="110"/>
    </row>
    <row r="5" spans="2:16" s="33" customFormat="1" ht="39" customHeight="1">
      <c r="B5" s="112"/>
      <c r="C5" s="32" t="s">
        <v>51</v>
      </c>
      <c r="D5" s="32" t="s">
        <v>39</v>
      </c>
      <c r="E5" s="111"/>
      <c r="F5" s="32" t="s">
        <v>40</v>
      </c>
      <c r="G5" s="32" t="s">
        <v>41</v>
      </c>
      <c r="H5" s="111"/>
      <c r="I5" s="32" t="s">
        <v>42</v>
      </c>
      <c r="J5" s="32" t="s">
        <v>48</v>
      </c>
      <c r="K5" s="111"/>
      <c r="L5" s="32" t="s">
        <v>43</v>
      </c>
      <c r="M5" s="32" t="s">
        <v>49</v>
      </c>
      <c r="N5" s="111"/>
      <c r="O5" s="32" t="s">
        <v>44</v>
      </c>
      <c r="P5" s="32" t="s">
        <v>50</v>
      </c>
    </row>
    <row r="6" spans="2:16" s="29" customFormat="1" ht="15">
      <c r="B6" s="39" t="s">
        <v>47</v>
      </c>
      <c r="C6" s="37">
        <v>181124</v>
      </c>
      <c r="D6" s="37">
        <v>141299</v>
      </c>
      <c r="E6" s="35">
        <f>C6-D6</f>
        <v>39825</v>
      </c>
      <c r="F6" s="38">
        <v>204645</v>
      </c>
      <c r="G6" s="38">
        <v>212689</v>
      </c>
      <c r="H6" s="35">
        <f>E6+F6-G6</f>
        <v>31781</v>
      </c>
      <c r="I6" s="38">
        <v>215167</v>
      </c>
      <c r="J6" s="38">
        <v>179250</v>
      </c>
      <c r="K6" s="35">
        <f>H6+I6-J6</f>
        <v>67698</v>
      </c>
      <c r="L6" s="38">
        <v>222546</v>
      </c>
      <c r="M6" s="38">
        <v>164875</v>
      </c>
      <c r="N6" s="36">
        <f>K6+L6-M6</f>
        <v>125369</v>
      </c>
      <c r="O6" s="37">
        <v>183513</v>
      </c>
      <c r="P6" s="37">
        <v>139724</v>
      </c>
    </row>
    <row r="9" spans="3:6" ht="12.75">
      <c r="C9" s="115" t="s">
        <v>36</v>
      </c>
      <c r="D9" s="110" t="s">
        <v>37</v>
      </c>
      <c r="E9" s="110"/>
      <c r="F9" s="111" t="s">
        <v>38</v>
      </c>
    </row>
    <row r="10" spans="3:6" ht="25.5">
      <c r="C10" s="116"/>
      <c r="D10" s="32" t="s">
        <v>45</v>
      </c>
      <c r="E10" s="32" t="s">
        <v>46</v>
      </c>
      <c r="F10" s="111"/>
    </row>
    <row r="11" spans="3:6" ht="12.75">
      <c r="C11" s="36">
        <f>N6+O6-P6</f>
        <v>169158</v>
      </c>
      <c r="D11" s="37">
        <v>185367</v>
      </c>
      <c r="E11" s="37">
        <v>116681</v>
      </c>
      <c r="F11" s="36">
        <f>C11+D11-E11</f>
        <v>237844</v>
      </c>
    </row>
  </sheetData>
  <sheetProtection/>
  <mergeCells count="14">
    <mergeCell ref="K4:K5"/>
    <mergeCell ref="C9:C10"/>
    <mergeCell ref="D9:E9"/>
    <mergeCell ref="F9:F10"/>
    <mergeCell ref="B2:O2"/>
    <mergeCell ref="L4:M4"/>
    <mergeCell ref="N4:N5"/>
    <mergeCell ref="O4:P4"/>
    <mergeCell ref="B4:B5"/>
    <mergeCell ref="C4:D4"/>
    <mergeCell ref="E4:E5"/>
    <mergeCell ref="F4:G4"/>
    <mergeCell ref="H4:H5"/>
    <mergeCell ref="I4:J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7">
      <selection activeCell="AJ11" sqref="AJ11"/>
    </sheetView>
  </sheetViews>
  <sheetFormatPr defaultColWidth="9.140625" defaultRowHeight="12.75"/>
  <cols>
    <col min="1" max="1" width="1.57421875" style="0" customWidth="1"/>
    <col min="2" max="2" width="13.421875" style="61" customWidth="1"/>
    <col min="3" max="3" width="5.8515625" style="0" customWidth="1"/>
    <col min="4" max="4" width="7.8515625" style="0" customWidth="1"/>
    <col min="5" max="5" width="5.421875" style="0" customWidth="1"/>
    <col min="6" max="6" width="4.57421875" style="0" customWidth="1"/>
    <col min="7" max="7" width="5.421875" style="0" customWidth="1"/>
    <col min="8" max="8" width="2.140625" style="0" customWidth="1"/>
    <col min="9" max="9" width="4.57421875" style="0" customWidth="1"/>
    <col min="10" max="10" width="5.00390625" style="0" customWidth="1"/>
    <col min="11" max="11" width="3.8515625" style="0" customWidth="1"/>
    <col min="12" max="12" width="2.421875" style="0" customWidth="1"/>
    <col min="13" max="13" width="5.8515625" style="0" customWidth="1"/>
    <col min="14" max="14" width="4.57421875" style="0" customWidth="1"/>
    <col min="15" max="15" width="4.140625" style="0" customWidth="1"/>
    <col min="16" max="16" width="2.140625" style="0" customWidth="1"/>
    <col min="17" max="18" width="5.00390625" style="0" customWidth="1"/>
    <col min="19" max="19" width="5.421875" style="0" customWidth="1"/>
    <col min="20" max="20" width="4.8515625" style="0" customWidth="1"/>
    <col min="21" max="21" width="3.421875" style="0" customWidth="1"/>
    <col min="22" max="22" width="2.57421875" style="0" customWidth="1"/>
    <col min="23" max="23" width="4.8515625" style="0" customWidth="1"/>
    <col min="24" max="24" width="2.00390625" style="0" customWidth="1"/>
    <col min="25" max="25" width="4.57421875" style="0" customWidth="1"/>
    <col min="26" max="26" width="5.57421875" style="0" customWidth="1"/>
    <col min="27" max="27" width="4.57421875" style="0" customWidth="1"/>
    <col min="28" max="28" width="2.421875" style="0" customWidth="1"/>
    <col min="29" max="29" width="3.00390625" style="0" customWidth="1"/>
    <col min="30" max="31" width="4.00390625" style="0" customWidth="1"/>
    <col min="32" max="32" width="6.8515625" style="0" customWidth="1"/>
    <col min="33" max="33" width="7.421875" style="0" customWidth="1"/>
  </cols>
  <sheetData>
    <row r="1" spans="1:34" ht="12">
      <c r="A1" s="117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</row>
    <row r="2" spans="1:34" ht="12.75">
      <c r="A2" s="117" t="s">
        <v>102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</row>
    <row r="3" spans="1:34" ht="15.75" thickBot="1">
      <c r="A3" s="118" t="s">
        <v>53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40"/>
    </row>
    <row r="4" spans="1:34" ht="12">
      <c r="A4" s="120" t="s">
        <v>0</v>
      </c>
      <c r="B4" s="123" t="s">
        <v>54</v>
      </c>
      <c r="C4" s="126" t="s">
        <v>55</v>
      </c>
      <c r="D4" s="128" t="s">
        <v>56</v>
      </c>
      <c r="E4" s="131" t="s">
        <v>57</v>
      </c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3" t="s">
        <v>58</v>
      </c>
      <c r="AG4" s="133" t="s">
        <v>59</v>
      </c>
      <c r="AH4" s="41"/>
    </row>
    <row r="5" spans="1:34" ht="24" customHeight="1">
      <c r="A5" s="121"/>
      <c r="B5" s="124"/>
      <c r="C5" s="127"/>
      <c r="D5" s="129"/>
      <c r="E5" s="136" t="s">
        <v>60</v>
      </c>
      <c r="F5" s="138" t="s">
        <v>61</v>
      </c>
      <c r="G5" s="138" t="s">
        <v>62</v>
      </c>
      <c r="H5" s="140" t="s">
        <v>8</v>
      </c>
      <c r="I5" s="140"/>
      <c r="J5" s="141" t="s">
        <v>63</v>
      </c>
      <c r="K5" s="141" t="s">
        <v>64</v>
      </c>
      <c r="L5" s="141" t="s">
        <v>65</v>
      </c>
      <c r="M5" s="144" t="s">
        <v>21</v>
      </c>
      <c r="N5" s="144" t="s">
        <v>66</v>
      </c>
      <c r="O5" s="144" t="s">
        <v>67</v>
      </c>
      <c r="P5" s="144" t="s">
        <v>68</v>
      </c>
      <c r="Q5" s="144" t="s">
        <v>69</v>
      </c>
      <c r="R5" s="144" t="s">
        <v>70</v>
      </c>
      <c r="S5" s="144" t="s">
        <v>71</v>
      </c>
      <c r="T5" s="144" t="s">
        <v>104</v>
      </c>
      <c r="U5" s="144" t="s">
        <v>72</v>
      </c>
      <c r="V5" s="147" t="s">
        <v>73</v>
      </c>
      <c r="W5" s="147"/>
      <c r="X5" s="147"/>
      <c r="Y5" s="144" t="s">
        <v>74</v>
      </c>
      <c r="Z5" s="144" t="s">
        <v>75</v>
      </c>
      <c r="AA5" s="42"/>
      <c r="AB5" s="144" t="s">
        <v>76</v>
      </c>
      <c r="AC5" s="144" t="s">
        <v>77</v>
      </c>
      <c r="AD5" s="148" t="s">
        <v>78</v>
      </c>
      <c r="AE5" s="138" t="s">
        <v>79</v>
      </c>
      <c r="AF5" s="134"/>
      <c r="AG5" s="134"/>
      <c r="AH5" s="41"/>
    </row>
    <row r="6" spans="1:34" ht="12">
      <c r="A6" s="121"/>
      <c r="B6" s="124"/>
      <c r="C6" s="127"/>
      <c r="D6" s="129"/>
      <c r="E6" s="137"/>
      <c r="F6" s="138"/>
      <c r="G6" s="138"/>
      <c r="H6" s="140"/>
      <c r="I6" s="140"/>
      <c r="J6" s="142"/>
      <c r="K6" s="142"/>
      <c r="L6" s="142"/>
      <c r="M6" s="145"/>
      <c r="N6" s="145"/>
      <c r="O6" s="145"/>
      <c r="P6" s="145"/>
      <c r="Q6" s="145"/>
      <c r="R6" s="145"/>
      <c r="S6" s="145"/>
      <c r="T6" s="145"/>
      <c r="U6" s="145"/>
      <c r="V6" s="147"/>
      <c r="W6" s="147"/>
      <c r="X6" s="147"/>
      <c r="Y6" s="145"/>
      <c r="Z6" s="145"/>
      <c r="AA6" s="43"/>
      <c r="AB6" s="145"/>
      <c r="AC6" s="145"/>
      <c r="AD6" s="149"/>
      <c r="AE6" s="138"/>
      <c r="AF6" s="134"/>
      <c r="AG6" s="134"/>
      <c r="AH6" s="41"/>
    </row>
    <row r="7" spans="1:34" ht="12">
      <c r="A7" s="121"/>
      <c r="B7" s="124"/>
      <c r="C7" s="127"/>
      <c r="D7" s="129"/>
      <c r="E7" s="137"/>
      <c r="F7" s="138"/>
      <c r="G7" s="138"/>
      <c r="H7" s="151" t="s">
        <v>80</v>
      </c>
      <c r="I7" s="152" t="s">
        <v>81</v>
      </c>
      <c r="J7" s="142"/>
      <c r="K7" s="142"/>
      <c r="L7" s="142"/>
      <c r="M7" s="145"/>
      <c r="N7" s="145"/>
      <c r="O7" s="145"/>
      <c r="P7" s="145"/>
      <c r="Q7" s="145"/>
      <c r="R7" s="145"/>
      <c r="S7" s="145"/>
      <c r="T7" s="145"/>
      <c r="U7" s="145"/>
      <c r="V7" s="144" t="s">
        <v>82</v>
      </c>
      <c r="W7" s="144" t="s">
        <v>83</v>
      </c>
      <c r="X7" s="144" t="s">
        <v>84</v>
      </c>
      <c r="Y7" s="145"/>
      <c r="Z7" s="145"/>
      <c r="AA7" s="43"/>
      <c r="AB7" s="145"/>
      <c r="AC7" s="145"/>
      <c r="AD7" s="149"/>
      <c r="AE7" s="138"/>
      <c r="AF7" s="134"/>
      <c r="AG7" s="134"/>
      <c r="AH7" s="41"/>
    </row>
    <row r="8" spans="1:34" ht="12">
      <c r="A8" s="121"/>
      <c r="B8" s="124"/>
      <c r="C8" s="127"/>
      <c r="D8" s="129"/>
      <c r="E8" s="137"/>
      <c r="F8" s="138"/>
      <c r="G8" s="138"/>
      <c r="H8" s="151"/>
      <c r="I8" s="153"/>
      <c r="J8" s="142"/>
      <c r="K8" s="142"/>
      <c r="L8" s="142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43"/>
      <c r="AB8" s="145"/>
      <c r="AC8" s="145"/>
      <c r="AD8" s="149"/>
      <c r="AE8" s="138"/>
      <c r="AF8" s="134"/>
      <c r="AG8" s="134"/>
      <c r="AH8" s="41"/>
    </row>
    <row r="9" spans="1:34" ht="12">
      <c r="A9" s="121"/>
      <c r="B9" s="124"/>
      <c r="C9" s="127"/>
      <c r="D9" s="129"/>
      <c r="E9" s="137"/>
      <c r="F9" s="138"/>
      <c r="G9" s="138"/>
      <c r="H9" s="151"/>
      <c r="I9" s="153"/>
      <c r="J9" s="142"/>
      <c r="K9" s="142"/>
      <c r="L9" s="142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43"/>
      <c r="AB9" s="145"/>
      <c r="AC9" s="145"/>
      <c r="AD9" s="149"/>
      <c r="AE9" s="138"/>
      <c r="AF9" s="134"/>
      <c r="AG9" s="134"/>
      <c r="AH9" s="41"/>
    </row>
    <row r="10" spans="1:34" ht="12">
      <c r="A10" s="121"/>
      <c r="B10" s="124"/>
      <c r="C10" s="127"/>
      <c r="D10" s="129"/>
      <c r="E10" s="137"/>
      <c r="F10" s="138"/>
      <c r="G10" s="138"/>
      <c r="H10" s="151"/>
      <c r="I10" s="153"/>
      <c r="J10" s="142"/>
      <c r="K10" s="142"/>
      <c r="L10" s="142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43"/>
      <c r="AB10" s="145"/>
      <c r="AC10" s="145"/>
      <c r="AD10" s="149"/>
      <c r="AE10" s="138"/>
      <c r="AF10" s="134"/>
      <c r="AG10" s="134"/>
      <c r="AH10" s="41"/>
    </row>
    <row r="11" spans="1:34" ht="12">
      <c r="A11" s="121"/>
      <c r="B11" s="124"/>
      <c r="C11" s="127"/>
      <c r="D11" s="129"/>
      <c r="E11" s="137"/>
      <c r="F11" s="138"/>
      <c r="G11" s="138"/>
      <c r="H11" s="151"/>
      <c r="I11" s="153"/>
      <c r="J11" s="142"/>
      <c r="K11" s="142"/>
      <c r="L11" s="142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43"/>
      <c r="AB11" s="145"/>
      <c r="AC11" s="145"/>
      <c r="AD11" s="149"/>
      <c r="AE11" s="138"/>
      <c r="AF11" s="134"/>
      <c r="AG11" s="134"/>
      <c r="AH11" s="41"/>
    </row>
    <row r="12" spans="1:34" ht="12">
      <c r="A12" s="121"/>
      <c r="B12" s="124"/>
      <c r="C12" s="127"/>
      <c r="D12" s="129"/>
      <c r="E12" s="137"/>
      <c r="F12" s="138"/>
      <c r="G12" s="138"/>
      <c r="H12" s="151"/>
      <c r="I12" s="153"/>
      <c r="J12" s="142"/>
      <c r="K12" s="142"/>
      <c r="L12" s="142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43"/>
      <c r="AB12" s="145"/>
      <c r="AC12" s="145"/>
      <c r="AD12" s="149"/>
      <c r="AE12" s="138"/>
      <c r="AF12" s="134"/>
      <c r="AG12" s="134"/>
      <c r="AH12" s="41"/>
    </row>
    <row r="13" spans="1:34" ht="12">
      <c r="A13" s="121"/>
      <c r="B13" s="124"/>
      <c r="C13" s="127"/>
      <c r="D13" s="129"/>
      <c r="E13" s="137"/>
      <c r="F13" s="138"/>
      <c r="G13" s="138"/>
      <c r="H13" s="151"/>
      <c r="I13" s="153"/>
      <c r="J13" s="142"/>
      <c r="K13" s="142"/>
      <c r="L13" s="142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43"/>
      <c r="AB13" s="145"/>
      <c r="AC13" s="145"/>
      <c r="AD13" s="149"/>
      <c r="AE13" s="138"/>
      <c r="AF13" s="134"/>
      <c r="AG13" s="134"/>
      <c r="AH13" s="41"/>
    </row>
    <row r="14" spans="1:34" ht="12">
      <c r="A14" s="121"/>
      <c r="B14" s="124"/>
      <c r="C14" s="127"/>
      <c r="D14" s="129"/>
      <c r="E14" s="137"/>
      <c r="F14" s="138"/>
      <c r="G14" s="138"/>
      <c r="H14" s="151"/>
      <c r="I14" s="153"/>
      <c r="J14" s="142"/>
      <c r="K14" s="142"/>
      <c r="L14" s="142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43"/>
      <c r="AB14" s="145"/>
      <c r="AC14" s="145"/>
      <c r="AD14" s="149"/>
      <c r="AE14" s="138"/>
      <c r="AF14" s="134"/>
      <c r="AG14" s="134"/>
      <c r="AH14" s="41"/>
    </row>
    <row r="15" spans="1:34" ht="12">
      <c r="A15" s="121"/>
      <c r="B15" s="124"/>
      <c r="C15" s="127"/>
      <c r="D15" s="129"/>
      <c r="E15" s="137"/>
      <c r="F15" s="138"/>
      <c r="G15" s="138"/>
      <c r="H15" s="151"/>
      <c r="I15" s="153"/>
      <c r="J15" s="142"/>
      <c r="K15" s="142"/>
      <c r="L15" s="142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43"/>
      <c r="AB15" s="145"/>
      <c r="AC15" s="145"/>
      <c r="AD15" s="149"/>
      <c r="AE15" s="138"/>
      <c r="AF15" s="134"/>
      <c r="AG15" s="134"/>
      <c r="AH15" s="41"/>
    </row>
    <row r="16" spans="1:34" ht="12">
      <c r="A16" s="121"/>
      <c r="B16" s="124"/>
      <c r="C16" s="127"/>
      <c r="D16" s="129"/>
      <c r="E16" s="137"/>
      <c r="F16" s="138"/>
      <c r="G16" s="138"/>
      <c r="H16" s="151"/>
      <c r="I16" s="153"/>
      <c r="J16" s="142"/>
      <c r="K16" s="142"/>
      <c r="L16" s="142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43"/>
      <c r="AB16" s="145"/>
      <c r="AC16" s="145"/>
      <c r="AD16" s="149"/>
      <c r="AE16" s="138"/>
      <c r="AF16" s="134"/>
      <c r="AG16" s="134"/>
      <c r="AH16" s="41"/>
    </row>
    <row r="17" spans="1:34" ht="44.25" customHeight="1">
      <c r="A17" s="122"/>
      <c r="B17" s="125"/>
      <c r="C17" s="127"/>
      <c r="D17" s="130"/>
      <c r="E17" s="137"/>
      <c r="F17" s="139"/>
      <c r="G17" s="139"/>
      <c r="H17" s="144"/>
      <c r="I17" s="154"/>
      <c r="J17" s="143"/>
      <c r="K17" s="143"/>
      <c r="L17" s="143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44" t="s">
        <v>85</v>
      </c>
      <c r="AB17" s="146"/>
      <c r="AC17" s="146"/>
      <c r="AD17" s="150"/>
      <c r="AE17" s="138"/>
      <c r="AF17" s="135"/>
      <c r="AG17" s="135"/>
      <c r="AH17" s="41"/>
    </row>
    <row r="18" spans="1:34" ht="12">
      <c r="A18" s="45"/>
      <c r="B18" s="46"/>
      <c r="C18" s="47"/>
      <c r="D18" s="48"/>
      <c r="E18" s="49"/>
      <c r="F18" s="49"/>
      <c r="G18" s="49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9"/>
      <c r="AF18" s="48"/>
      <c r="AG18" s="48"/>
      <c r="AH18" s="50"/>
    </row>
    <row r="19" spans="1:34" ht="12">
      <c r="A19" s="45"/>
      <c r="B19" s="51" t="s">
        <v>86</v>
      </c>
      <c r="C19" s="52">
        <v>882.7</v>
      </c>
      <c r="D19" s="53">
        <f>17.5*C19</f>
        <v>15447.25</v>
      </c>
      <c r="E19" s="54">
        <f>4.768495*C19</f>
        <v>4209.1505365</v>
      </c>
      <c r="F19" s="54">
        <f>0.544081*C19</f>
        <v>480.2602987000001</v>
      </c>
      <c r="G19" s="54">
        <f>1.106526*C19</f>
        <v>976.7305001999999</v>
      </c>
      <c r="H19" s="55"/>
      <c r="I19" s="55">
        <f>0.056013*C19</f>
        <v>49.4426751</v>
      </c>
      <c r="J19" s="55">
        <f>0.51*C19</f>
        <v>450.177</v>
      </c>
      <c r="K19" s="55"/>
      <c r="L19" s="55"/>
      <c r="M19" s="55"/>
      <c r="N19" s="55">
        <f>1.880981*C19</f>
        <v>1660.3419287000002</v>
      </c>
      <c r="O19" s="55"/>
      <c r="P19" s="55"/>
      <c r="Q19" s="55"/>
      <c r="R19" s="55"/>
      <c r="S19" s="55"/>
      <c r="T19" s="55">
        <f>2*AH19</f>
        <v>368.6989</v>
      </c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4"/>
      <c r="AF19" s="55">
        <f>E19+F19+G19+H19+I19+J19+K19+L19+M19+N19+O19+P19+Q19+R19+S19+T19+U19+V19+W19+X19+Y19+Z19+AB19+AC19+AD19+AE19</f>
        <v>8194.8018392</v>
      </c>
      <c r="AG19" s="55">
        <f>D19-AF19</f>
        <v>7252.448160800001</v>
      </c>
      <c r="AH19" s="62">
        <v>184.34945</v>
      </c>
    </row>
    <row r="20" spans="1:34" ht="12">
      <c r="A20" s="45"/>
      <c r="B20" s="51" t="s">
        <v>87</v>
      </c>
      <c r="C20" s="52">
        <v>882.7</v>
      </c>
      <c r="D20" s="53">
        <f>17.5*C20</f>
        <v>15447.25</v>
      </c>
      <c r="E20" s="54">
        <f>4.768495*C20</f>
        <v>4209.1505365</v>
      </c>
      <c r="F20" s="54">
        <f>0.50248*C20</f>
        <v>443.53909600000003</v>
      </c>
      <c r="G20" s="54">
        <f>1.093489*C20</f>
        <v>965.2227402999999</v>
      </c>
      <c r="H20" s="55"/>
      <c r="I20" s="55"/>
      <c r="J20" s="55">
        <f>0.51*C20</f>
        <v>450.177</v>
      </c>
      <c r="K20" s="55"/>
      <c r="L20" s="55"/>
      <c r="M20" s="55"/>
      <c r="N20" s="55">
        <f>1.467208*C20</f>
        <v>1295.1045016</v>
      </c>
      <c r="O20" s="55"/>
      <c r="P20" s="55"/>
      <c r="Q20" s="55"/>
      <c r="R20" s="55">
        <f>8*AH20+84.36</f>
        <v>1388.2181839999998</v>
      </c>
      <c r="S20" s="55">
        <f>8*AH20+309.4</f>
        <v>1613.2581839999998</v>
      </c>
      <c r="T20" s="55">
        <f>1*AH20</f>
        <v>162.982273</v>
      </c>
      <c r="U20" s="55"/>
      <c r="V20" s="55"/>
      <c r="W20" s="55"/>
      <c r="X20" s="55"/>
      <c r="Y20" s="55">
        <f>8*AH20+77.6</f>
        <v>1381.4581839999998</v>
      </c>
      <c r="Z20" s="55"/>
      <c r="AA20" s="55"/>
      <c r="AB20" s="55"/>
      <c r="AC20" s="55"/>
      <c r="AD20" s="55"/>
      <c r="AE20" s="54"/>
      <c r="AF20" s="55">
        <f>E20+F20+G20+H20+I20+J20+K20+L20+M20+N20+O20+P20+Q20+R20+S20+T20+U20+V20+W20+X20+Y20+Z20+AB20+AC20+AD20+AE20</f>
        <v>11909.110699399998</v>
      </c>
      <c r="AG20" s="55">
        <f>D20-AF20</f>
        <v>3538.1393006000017</v>
      </c>
      <c r="AH20" s="62">
        <v>162.982273</v>
      </c>
    </row>
    <row r="21" spans="1:34" ht="12">
      <c r="A21" s="45"/>
      <c r="B21" s="51" t="s">
        <v>88</v>
      </c>
      <c r="C21" s="52">
        <v>882.7</v>
      </c>
      <c r="D21" s="53">
        <f>17.5*C21</f>
        <v>15447.25</v>
      </c>
      <c r="E21" s="54">
        <f>4.768495*C21</f>
        <v>4209.1505365</v>
      </c>
      <c r="F21" s="54">
        <f>0.5152*C21</f>
        <v>454.76704</v>
      </c>
      <c r="G21" s="54">
        <f>0.896192*C21</f>
        <v>791.0686784000001</v>
      </c>
      <c r="H21" s="55"/>
      <c r="I21" s="55"/>
      <c r="J21" s="55">
        <f>0.51*C21</f>
        <v>450.177</v>
      </c>
      <c r="K21" s="55"/>
      <c r="L21" s="55"/>
      <c r="M21" s="55"/>
      <c r="N21" s="55">
        <f>1.849425*C21</f>
        <v>1632.4874475000001</v>
      </c>
      <c r="O21" s="55"/>
      <c r="P21" s="55"/>
      <c r="Q21" s="55"/>
      <c r="R21" s="55">
        <f>24*AH21</f>
        <v>4030.6630800000003</v>
      </c>
      <c r="S21" s="55">
        <f>3*AH21</f>
        <v>503.83288500000003</v>
      </c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4"/>
      <c r="AF21" s="55">
        <f>E21+F21+G21+H21+I21+J21+K21+L21+M21+N21+O21+P21+Q21+R21+S21+T21+U21+V21+W21+X21+Y21+Z21+AB21+AC21+AD21+AE21</f>
        <v>12072.1466674</v>
      </c>
      <c r="AG21" s="55">
        <f>D21-AF21</f>
        <v>3375.1033325999997</v>
      </c>
      <c r="AH21" s="62">
        <v>167.944295</v>
      </c>
    </row>
    <row r="22" spans="1:34" ht="12">
      <c r="A22" s="45"/>
      <c r="B22" s="56" t="s">
        <v>89</v>
      </c>
      <c r="C22" s="47"/>
      <c r="D22" s="57">
        <f>D19+D20+D21</f>
        <v>46341.75</v>
      </c>
      <c r="E22" s="57">
        <f aca="true" t="shared" si="0" ref="E22:AG22">E19+E20+E21</f>
        <v>12627.4516095</v>
      </c>
      <c r="F22" s="57">
        <f t="shared" si="0"/>
        <v>1378.5664347000002</v>
      </c>
      <c r="G22" s="57">
        <f t="shared" si="0"/>
        <v>2733.0219189</v>
      </c>
      <c r="H22" s="57">
        <f t="shared" si="0"/>
        <v>0</v>
      </c>
      <c r="I22" s="57">
        <f t="shared" si="0"/>
        <v>49.4426751</v>
      </c>
      <c r="J22" s="57">
        <f t="shared" si="0"/>
        <v>1350.531</v>
      </c>
      <c r="K22" s="57">
        <f t="shared" si="0"/>
        <v>0</v>
      </c>
      <c r="L22" s="57">
        <f t="shared" si="0"/>
        <v>0</v>
      </c>
      <c r="M22" s="57">
        <f t="shared" si="0"/>
        <v>0</v>
      </c>
      <c r="N22" s="57">
        <f t="shared" si="0"/>
        <v>4587.9338778</v>
      </c>
      <c r="O22" s="57">
        <f t="shared" si="0"/>
        <v>0</v>
      </c>
      <c r="P22" s="57">
        <f t="shared" si="0"/>
        <v>0</v>
      </c>
      <c r="Q22" s="57">
        <f t="shared" si="0"/>
        <v>0</v>
      </c>
      <c r="R22" s="57">
        <f t="shared" si="0"/>
        <v>5418.881264</v>
      </c>
      <c r="S22" s="57">
        <f t="shared" si="0"/>
        <v>2117.091069</v>
      </c>
      <c r="T22" s="57">
        <f t="shared" si="0"/>
        <v>531.681173</v>
      </c>
      <c r="U22" s="57">
        <f t="shared" si="0"/>
        <v>0</v>
      </c>
      <c r="V22" s="57">
        <f t="shared" si="0"/>
        <v>0</v>
      </c>
      <c r="W22" s="57">
        <f t="shared" si="0"/>
        <v>0</v>
      </c>
      <c r="X22" s="57">
        <f t="shared" si="0"/>
        <v>0</v>
      </c>
      <c r="Y22" s="57">
        <f t="shared" si="0"/>
        <v>1381.4581839999998</v>
      </c>
      <c r="Z22" s="57">
        <f t="shared" si="0"/>
        <v>0</v>
      </c>
      <c r="AA22" s="57">
        <f t="shared" si="0"/>
        <v>0</v>
      </c>
      <c r="AB22" s="57">
        <f t="shared" si="0"/>
        <v>0</v>
      </c>
      <c r="AC22" s="57">
        <f t="shared" si="0"/>
        <v>0</v>
      </c>
      <c r="AD22" s="57">
        <f t="shared" si="0"/>
        <v>0</v>
      </c>
      <c r="AE22" s="57">
        <f t="shared" si="0"/>
        <v>0</v>
      </c>
      <c r="AF22" s="57">
        <f t="shared" si="0"/>
        <v>32176.059205999998</v>
      </c>
      <c r="AG22" s="57">
        <f t="shared" si="0"/>
        <v>14165.690794000002</v>
      </c>
      <c r="AH22" s="50"/>
    </row>
    <row r="23" spans="1:34" ht="12">
      <c r="A23" s="45"/>
      <c r="B23" s="51" t="s">
        <v>90</v>
      </c>
      <c r="C23" s="52">
        <v>882.7</v>
      </c>
      <c r="D23" s="53">
        <f>17.5*C23</f>
        <v>15447.25</v>
      </c>
      <c r="E23" s="54">
        <f>4.774459*C23</f>
        <v>4214.4149593</v>
      </c>
      <c r="F23" s="54">
        <f>0.33468*C23</f>
        <v>295.422036</v>
      </c>
      <c r="G23" s="54">
        <f>1.251684*C23</f>
        <v>1104.8614668</v>
      </c>
      <c r="H23" s="55"/>
      <c r="I23" s="55">
        <f>0.056083*C23</f>
        <v>49.5044641</v>
      </c>
      <c r="J23" s="55">
        <f>0.51*C23</f>
        <v>450.177</v>
      </c>
      <c r="K23" s="55"/>
      <c r="L23" s="55"/>
      <c r="M23" s="55">
        <f>2.272888*C23</f>
        <v>2006.2782376</v>
      </c>
      <c r="N23" s="55">
        <f>0.926284*C23</f>
        <v>817.6308868</v>
      </c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4"/>
      <c r="AF23" s="55">
        <f>E23+F23+G23+H23+I23+J23+K23+L23+M23+N23+O23+P23+Q23+R23+S23+T23+U23+V23+W23+X23+Y23+Z23+AA23+AB23+AC23+AD23+AE23</f>
        <v>8938.2890506</v>
      </c>
      <c r="AG23" s="55">
        <f>D23-AF23</f>
        <v>6508.9609494</v>
      </c>
      <c r="AH23" s="63">
        <v>188.196221</v>
      </c>
    </row>
    <row r="24" spans="1:34" ht="12">
      <c r="A24" s="45"/>
      <c r="B24" s="51" t="s">
        <v>91</v>
      </c>
      <c r="C24" s="52">
        <v>882.7</v>
      </c>
      <c r="D24" s="53">
        <f>17.5*C24</f>
        <v>15447.25</v>
      </c>
      <c r="E24" s="54">
        <f>4.465137*C24</f>
        <v>3941.3764299000004</v>
      </c>
      <c r="F24" s="54">
        <f>0.2701*C24</f>
        <v>238.41727000000003</v>
      </c>
      <c r="G24" s="54">
        <f>1.348602*C24</f>
        <v>1190.4109854</v>
      </c>
      <c r="H24" s="55"/>
      <c r="I24" s="55"/>
      <c r="J24" s="55">
        <f>0.51*C24</f>
        <v>450.177</v>
      </c>
      <c r="K24" s="55"/>
      <c r="L24" s="55"/>
      <c r="M24" s="55">
        <f>4.5*AH24</f>
        <v>609.5290275</v>
      </c>
      <c r="N24" s="55">
        <f>0.105145*C24</f>
        <v>92.8114915</v>
      </c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>
        <f>8*AH24+270</f>
        <v>1353.60716</v>
      </c>
      <c r="Z24" s="55"/>
      <c r="AA24" s="55"/>
      <c r="AB24" s="55"/>
      <c r="AC24" s="55"/>
      <c r="AD24" s="55"/>
      <c r="AE24" s="54"/>
      <c r="AF24" s="55">
        <f>E24+F24+G24+H24+I24+J24+K24+L24+M24+N24+O24+P24+Q24+R24+S24+T24+U24+V24+W24+X24+Y24+Z24+AA24+AB24+AC24+AD24+AE24</f>
        <v>7876.3293643</v>
      </c>
      <c r="AG24" s="55">
        <f>D24-AF24</f>
        <v>7570.9206357</v>
      </c>
      <c r="AH24" s="63">
        <v>135.450895</v>
      </c>
    </row>
    <row r="25" spans="1:35" ht="12">
      <c r="A25" s="45"/>
      <c r="B25" s="51" t="s">
        <v>92</v>
      </c>
      <c r="C25" s="52">
        <v>882.7</v>
      </c>
      <c r="D25" s="53">
        <f>17.5*C25</f>
        <v>15447.25</v>
      </c>
      <c r="E25" s="54">
        <f>5.009932*C25</f>
        <v>4422.2669764</v>
      </c>
      <c r="F25" s="54">
        <f>0.166845*C25</f>
        <v>147.2740815</v>
      </c>
      <c r="G25" s="54">
        <f>1.258982*C25</f>
        <v>1111.3034114000002</v>
      </c>
      <c r="H25" s="55"/>
      <c r="I25" s="55"/>
      <c r="J25" s="55">
        <f>0.51*C25</f>
        <v>450.177</v>
      </c>
      <c r="K25" s="55"/>
      <c r="L25" s="55"/>
      <c r="M25" s="55">
        <f>4.5*AH25+AI25*C25</f>
        <v>799.0925424</v>
      </c>
      <c r="N25" s="55">
        <f>0.181997*C25</f>
        <v>160.6487519</v>
      </c>
      <c r="O25" s="55"/>
      <c r="P25" s="55"/>
      <c r="Q25" s="55">
        <f>4*AH25+39</f>
        <v>675.866196</v>
      </c>
      <c r="R25" s="55"/>
      <c r="S25" s="55"/>
      <c r="T25" s="55">
        <v>1274</v>
      </c>
      <c r="U25" s="55"/>
      <c r="V25" s="55"/>
      <c r="W25" s="55">
        <f>94*22</f>
        <v>2068</v>
      </c>
      <c r="X25" s="55"/>
      <c r="Y25" s="55"/>
      <c r="Z25" s="55"/>
      <c r="AA25" s="55"/>
      <c r="AB25" s="55"/>
      <c r="AC25" s="55"/>
      <c r="AD25" s="55"/>
      <c r="AE25" s="54"/>
      <c r="AF25" s="55">
        <f>E25+F25+G25+H25+I25+J25+K25+L25+M25+N25+O25+P25+Q25+R25+S25+T25+U25+V25+W25+X25+Y25+Z25+AA25+AB25+AC25+AD25+AE25</f>
        <v>11108.628959599999</v>
      </c>
      <c r="AG25" s="55">
        <f>D25-AF25</f>
        <v>4338.621040400001</v>
      </c>
      <c r="AH25" s="63">
        <v>159.216549</v>
      </c>
      <c r="AI25" s="64">
        <v>0.093597</v>
      </c>
    </row>
    <row r="26" spans="1:34" ht="12">
      <c r="A26" s="45"/>
      <c r="B26" s="56" t="s">
        <v>93</v>
      </c>
      <c r="C26" s="47"/>
      <c r="D26" s="57">
        <f>D22+D23+D24+D25</f>
        <v>92683.5</v>
      </c>
      <c r="E26" s="57">
        <f aca="true" t="shared" si="1" ref="E26:AG26">E22+E23+E24+E25</f>
        <v>25205.5099751</v>
      </c>
      <c r="F26" s="57">
        <f t="shared" si="1"/>
        <v>2059.6798222</v>
      </c>
      <c r="G26" s="57">
        <f t="shared" si="1"/>
        <v>6139.5977825</v>
      </c>
      <c r="H26" s="57">
        <f t="shared" si="1"/>
        <v>0</v>
      </c>
      <c r="I26" s="57">
        <f t="shared" si="1"/>
        <v>98.94713920000001</v>
      </c>
      <c r="J26" s="57">
        <f t="shared" si="1"/>
        <v>2701.0620000000004</v>
      </c>
      <c r="K26" s="57">
        <f t="shared" si="1"/>
        <v>0</v>
      </c>
      <c r="L26" s="57">
        <f t="shared" si="1"/>
        <v>0</v>
      </c>
      <c r="M26" s="57">
        <f t="shared" si="1"/>
        <v>3414.8998075</v>
      </c>
      <c r="N26" s="57">
        <f t="shared" si="1"/>
        <v>5659.025008</v>
      </c>
      <c r="O26" s="57">
        <f t="shared" si="1"/>
        <v>0</v>
      </c>
      <c r="P26" s="57">
        <f t="shared" si="1"/>
        <v>0</v>
      </c>
      <c r="Q26" s="57">
        <f t="shared" si="1"/>
        <v>675.866196</v>
      </c>
      <c r="R26" s="57">
        <f t="shared" si="1"/>
        <v>5418.881264</v>
      </c>
      <c r="S26" s="57">
        <f t="shared" si="1"/>
        <v>2117.091069</v>
      </c>
      <c r="T26" s="57">
        <f t="shared" si="1"/>
        <v>1805.681173</v>
      </c>
      <c r="U26" s="57">
        <f t="shared" si="1"/>
        <v>0</v>
      </c>
      <c r="V26" s="57">
        <f t="shared" si="1"/>
        <v>0</v>
      </c>
      <c r="W26" s="57">
        <f t="shared" si="1"/>
        <v>2068</v>
      </c>
      <c r="X26" s="57">
        <f t="shared" si="1"/>
        <v>0</v>
      </c>
      <c r="Y26" s="57">
        <f t="shared" si="1"/>
        <v>2735.0653439999996</v>
      </c>
      <c r="Z26" s="57">
        <f t="shared" si="1"/>
        <v>0</v>
      </c>
      <c r="AA26" s="57">
        <f t="shared" si="1"/>
        <v>0</v>
      </c>
      <c r="AB26" s="57">
        <f t="shared" si="1"/>
        <v>0</v>
      </c>
      <c r="AC26" s="57">
        <f t="shared" si="1"/>
        <v>0</v>
      </c>
      <c r="AD26" s="57">
        <f t="shared" si="1"/>
        <v>0</v>
      </c>
      <c r="AE26" s="57">
        <f t="shared" si="1"/>
        <v>0</v>
      </c>
      <c r="AF26" s="57">
        <f t="shared" si="1"/>
        <v>60099.3065805</v>
      </c>
      <c r="AG26" s="57">
        <f t="shared" si="1"/>
        <v>32584.193419500003</v>
      </c>
      <c r="AH26" s="50"/>
    </row>
    <row r="27" spans="1:34" ht="12">
      <c r="A27" s="45"/>
      <c r="B27" s="51" t="s">
        <v>94</v>
      </c>
      <c r="C27" s="52">
        <v>882.7</v>
      </c>
      <c r="D27" s="53">
        <f>17.5*C27</f>
        <v>15447.25</v>
      </c>
      <c r="E27" s="54">
        <f>4.505652*C27</f>
        <v>3977.1390204000004</v>
      </c>
      <c r="F27" s="54">
        <f>0.173089*C27</f>
        <v>152.7856603</v>
      </c>
      <c r="G27" s="54">
        <f>1.306048*C27</f>
        <v>1152.8485696000002</v>
      </c>
      <c r="H27" s="55"/>
      <c r="I27" s="55"/>
      <c r="J27" s="55">
        <f>0.51*C27</f>
        <v>450.177</v>
      </c>
      <c r="K27" s="55"/>
      <c r="L27" s="55"/>
      <c r="M27" s="55">
        <f>4.6*AH27</f>
        <v>944.5160864</v>
      </c>
      <c r="N27" s="55">
        <f>0.1053745*C27</f>
        <v>93.01407115</v>
      </c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4"/>
      <c r="AF27" s="55">
        <f>E27+F27+G27+H27+I27+J27+K27+L27+M27+N27+O27+P27+Q27+R27+S27+T27+U27+V27+W27+X27+Y27+Z27+AA27+AB27+AC27+AD27+AE27</f>
        <v>6770.48040785</v>
      </c>
      <c r="AG27" s="55">
        <f>D27-AF27</f>
        <v>8676.76959215</v>
      </c>
      <c r="AH27" s="63">
        <v>205.329584</v>
      </c>
    </row>
    <row r="28" spans="1:34" ht="12" customHeight="1">
      <c r="A28" s="45"/>
      <c r="B28" s="46" t="s">
        <v>95</v>
      </c>
      <c r="C28" s="52">
        <v>882.7</v>
      </c>
      <c r="D28" s="53">
        <f>17.5*C28</f>
        <v>15447.25</v>
      </c>
      <c r="E28" s="54">
        <f>4.324937*C28</f>
        <v>3817.6218899000005</v>
      </c>
      <c r="F28" s="54">
        <f>0.189881*C28</f>
        <v>167.6079587</v>
      </c>
      <c r="G28" s="54">
        <f>2.541121*C28</f>
        <v>2243.0475067</v>
      </c>
      <c r="H28" s="55"/>
      <c r="I28" s="55"/>
      <c r="J28" s="55">
        <f>0.51*C28</f>
        <v>450.177</v>
      </c>
      <c r="K28" s="55"/>
      <c r="L28" s="55"/>
      <c r="M28" s="55"/>
      <c r="N28" s="55">
        <f>0.904819*C28</f>
        <v>798.6837313000001</v>
      </c>
      <c r="O28" s="55"/>
      <c r="P28" s="55"/>
      <c r="Q28" s="55"/>
      <c r="R28" s="55">
        <f>4*AH28+212.5</f>
        <v>1225.391128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4"/>
      <c r="AF28" s="55">
        <f>E28+F28+G28+H28+I28+J28+K28+L28+M28+N28+O28+P28+Q28+R28+S28+T28+U28+V28+W28+X28+Y28+Z28+AA28+AB28+AC28+AD28+AE28</f>
        <v>8702.5292146</v>
      </c>
      <c r="AG28" s="55">
        <f>D28-AF28</f>
        <v>6744.720785400001</v>
      </c>
      <c r="AH28" s="63">
        <v>253.222782</v>
      </c>
    </row>
    <row r="29" spans="1:34" ht="12">
      <c r="A29" s="45"/>
      <c r="B29" s="46" t="s">
        <v>96</v>
      </c>
      <c r="C29" s="52">
        <v>882.7</v>
      </c>
      <c r="D29" s="53">
        <f>17.5*C29</f>
        <v>15447.25</v>
      </c>
      <c r="E29" s="54">
        <f>4.76813*C29</f>
        <v>4208.828351</v>
      </c>
      <c r="F29" s="54">
        <f>0.244065*C29</f>
        <v>215.43617550000002</v>
      </c>
      <c r="G29" s="54">
        <f>1.318323*C29</f>
        <v>1163.6837121</v>
      </c>
      <c r="H29" s="55"/>
      <c r="I29" s="55">
        <f>0.056085*C29</f>
        <v>49.5062295</v>
      </c>
      <c r="J29" s="55">
        <f>0.51*C29</f>
        <v>450.177</v>
      </c>
      <c r="K29" s="55"/>
      <c r="L29" s="55"/>
      <c r="M29" s="55"/>
      <c r="N29" s="55">
        <f>0.744786*C29</f>
        <v>657.4226022</v>
      </c>
      <c r="O29" s="55">
        <f>3*AH29</f>
        <v>556.6422</v>
      </c>
      <c r="P29" s="55"/>
      <c r="Q29" s="55"/>
      <c r="R29" s="55">
        <f>12*AH29</f>
        <v>2226.5688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4"/>
      <c r="AF29" s="55">
        <f>E29+F29+G29+H29+I29+J29+K29+L29+M29+N29+O29+P29+Q29+R29+S29+T29+U29+V29+W29+X29+Y29+Z29+AB29+AC29+AD29+AE29</f>
        <v>9528.2650703</v>
      </c>
      <c r="AG29" s="55">
        <f>D29-AF29</f>
        <v>5918.9849297</v>
      </c>
      <c r="AH29" s="63">
        <v>185.5474</v>
      </c>
    </row>
    <row r="30" spans="1:34" ht="12">
      <c r="A30" s="45"/>
      <c r="B30" s="56" t="s">
        <v>97</v>
      </c>
      <c r="C30" s="47"/>
      <c r="D30" s="57">
        <f aca="true" t="shared" si="2" ref="D30:AG30">D26+D27+D29+D28</f>
        <v>139025.25</v>
      </c>
      <c r="E30" s="57">
        <f t="shared" si="2"/>
        <v>37209.099236400005</v>
      </c>
      <c r="F30" s="57">
        <f t="shared" si="2"/>
        <v>2595.5096167</v>
      </c>
      <c r="G30" s="57">
        <f t="shared" si="2"/>
        <v>10699.177570900001</v>
      </c>
      <c r="H30" s="57">
        <f t="shared" si="2"/>
        <v>0</v>
      </c>
      <c r="I30" s="57">
        <f t="shared" si="2"/>
        <v>148.4533687</v>
      </c>
      <c r="J30" s="57">
        <f t="shared" si="2"/>
        <v>4051.5930000000008</v>
      </c>
      <c r="K30" s="57">
        <f t="shared" si="2"/>
        <v>0</v>
      </c>
      <c r="L30" s="57">
        <f t="shared" si="2"/>
        <v>0</v>
      </c>
      <c r="M30" s="57">
        <f t="shared" si="2"/>
        <v>4359.4158939</v>
      </c>
      <c r="N30" s="57">
        <f t="shared" si="2"/>
        <v>7208.145412649999</v>
      </c>
      <c r="O30" s="57">
        <f t="shared" si="2"/>
        <v>556.6422</v>
      </c>
      <c r="P30" s="57">
        <f t="shared" si="2"/>
        <v>0</v>
      </c>
      <c r="Q30" s="57">
        <f t="shared" si="2"/>
        <v>675.866196</v>
      </c>
      <c r="R30" s="57">
        <f t="shared" si="2"/>
        <v>8870.841192</v>
      </c>
      <c r="S30" s="57">
        <f t="shared" si="2"/>
        <v>2117.091069</v>
      </c>
      <c r="T30" s="57">
        <f t="shared" si="2"/>
        <v>1805.681173</v>
      </c>
      <c r="U30" s="57">
        <f t="shared" si="2"/>
        <v>0</v>
      </c>
      <c r="V30" s="57">
        <f t="shared" si="2"/>
        <v>0</v>
      </c>
      <c r="W30" s="57">
        <f t="shared" si="2"/>
        <v>2068</v>
      </c>
      <c r="X30" s="57">
        <f t="shared" si="2"/>
        <v>0</v>
      </c>
      <c r="Y30" s="57">
        <f t="shared" si="2"/>
        <v>2735.0653439999996</v>
      </c>
      <c r="Z30" s="57">
        <f t="shared" si="2"/>
        <v>0</v>
      </c>
      <c r="AA30" s="57">
        <f t="shared" si="2"/>
        <v>0</v>
      </c>
      <c r="AB30" s="57">
        <f t="shared" si="2"/>
        <v>0</v>
      </c>
      <c r="AC30" s="57">
        <f t="shared" si="2"/>
        <v>0</v>
      </c>
      <c r="AD30" s="57">
        <f t="shared" si="2"/>
        <v>0</v>
      </c>
      <c r="AE30" s="57">
        <f t="shared" si="2"/>
        <v>0</v>
      </c>
      <c r="AF30" s="58">
        <f>AF26+AF27+AF28+AF29</f>
        <v>85100.58127324999</v>
      </c>
      <c r="AG30" s="57">
        <f t="shared" si="2"/>
        <v>53924.66872675001</v>
      </c>
      <c r="AH30" s="50"/>
    </row>
    <row r="31" spans="1:35" ht="12">
      <c r="A31" s="20"/>
      <c r="B31" s="51" t="s">
        <v>98</v>
      </c>
      <c r="C31" s="52">
        <v>882.7</v>
      </c>
      <c r="D31" s="53">
        <f>17.5*C31</f>
        <v>15447.25</v>
      </c>
      <c r="E31" s="54">
        <f>3.853583*C31</f>
        <v>3401.5577141000003</v>
      </c>
      <c r="F31" s="54">
        <f>0.4047*C31</f>
        <v>357.22869000000003</v>
      </c>
      <c r="G31" s="54">
        <f>1.347836*C31</f>
        <v>1189.7348372000001</v>
      </c>
      <c r="H31" s="55"/>
      <c r="I31" s="55">
        <f>0.056085*C31</f>
        <v>49.5062295</v>
      </c>
      <c r="J31" s="55">
        <f>0.51*C31</f>
        <v>450.177</v>
      </c>
      <c r="K31" s="55"/>
      <c r="L31" s="55"/>
      <c r="M31" s="55"/>
      <c r="N31" s="55">
        <f>0.249903*C31</f>
        <v>220.5893781</v>
      </c>
      <c r="O31" s="55"/>
      <c r="P31" s="55"/>
      <c r="Q31" s="55">
        <f>8*AH31+567.5</f>
        <v>1905.356544</v>
      </c>
      <c r="R31" s="55"/>
      <c r="S31" s="55"/>
      <c r="T31" s="55"/>
      <c r="U31" s="55"/>
      <c r="V31" s="55"/>
      <c r="W31" s="55"/>
      <c r="X31" s="55"/>
      <c r="Y31" s="55"/>
      <c r="Z31" s="55"/>
      <c r="AA31" s="55">
        <f>2*AH31</f>
        <v>334.464136</v>
      </c>
      <c r="AB31" s="55"/>
      <c r="AC31" s="55"/>
      <c r="AD31" s="55"/>
      <c r="AE31" s="54"/>
      <c r="AF31" s="55">
        <f>SUM(E31:AE31)</f>
        <v>7908.614528900001</v>
      </c>
      <c r="AG31" s="55">
        <f>D31-AF31</f>
        <v>7538.635471099999</v>
      </c>
      <c r="AH31" s="66">
        <v>167.232068</v>
      </c>
      <c r="AI31" s="67">
        <v>374.1297</v>
      </c>
    </row>
    <row r="32" spans="1:35" ht="12">
      <c r="A32" s="20"/>
      <c r="B32" s="51" t="s">
        <v>99</v>
      </c>
      <c r="C32" s="52">
        <v>882.7</v>
      </c>
      <c r="D32" s="53">
        <f>17.5*C32</f>
        <v>15447.25</v>
      </c>
      <c r="E32" s="54">
        <f>4.326917*C32</f>
        <v>3819.3696359</v>
      </c>
      <c r="F32" s="54">
        <f>0.489376*C32</f>
        <v>431.9721952</v>
      </c>
      <c r="G32" s="54">
        <f>1.044223*C32</f>
        <v>921.7356421</v>
      </c>
      <c r="H32" s="55"/>
      <c r="I32" s="55"/>
      <c r="J32" s="55">
        <f>0.51*C32</f>
        <v>450.177</v>
      </c>
      <c r="K32" s="55"/>
      <c r="L32" s="55"/>
      <c r="M32" s="55"/>
      <c r="N32" s="55">
        <f>0.58452*C32</f>
        <v>515.9558040000001</v>
      </c>
      <c r="O32" s="55"/>
      <c r="P32" s="55"/>
      <c r="Q32" s="55"/>
      <c r="R32" s="55">
        <f>12*AH32</f>
        <v>2425.93092</v>
      </c>
      <c r="S32" s="55">
        <f>3*AI32+16</f>
        <v>868.4177215000001</v>
      </c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4"/>
      <c r="AF32" s="55">
        <f>SUM(E32:AE32)</f>
        <v>9433.5589187</v>
      </c>
      <c r="AG32" s="55">
        <f>D32-AF32</f>
        <v>6013.6910812999995</v>
      </c>
      <c r="AH32" s="66">
        <v>202.16091</v>
      </c>
      <c r="AI32" s="67">
        <v>284.1392405</v>
      </c>
    </row>
    <row r="33" spans="1:35" ht="12">
      <c r="A33" s="20"/>
      <c r="B33" s="51" t="s">
        <v>100</v>
      </c>
      <c r="C33" s="52">
        <v>882.7</v>
      </c>
      <c r="D33" s="53">
        <f>17.5*C33</f>
        <v>15447.25</v>
      </c>
      <c r="E33" s="54">
        <f>4.2203*C33</f>
        <v>3725.2588100000003</v>
      </c>
      <c r="F33" s="54">
        <f>0.539533*C33</f>
        <v>476.24577910000005</v>
      </c>
      <c r="G33" s="54">
        <f>1.114833*C33</f>
        <v>984.0630891000001</v>
      </c>
      <c r="H33" s="55"/>
      <c r="I33" s="55">
        <f>7.463767*C33</f>
        <v>6588.2671309</v>
      </c>
      <c r="J33" s="55">
        <f>0.51*C33</f>
        <v>450.177</v>
      </c>
      <c r="K33" s="55"/>
      <c r="L33" s="55"/>
      <c r="M33" s="55"/>
      <c r="N33" s="55">
        <f>1.360846*C33</f>
        <v>1201.2187642000001</v>
      </c>
      <c r="O33" s="55"/>
      <c r="P33" s="55"/>
      <c r="Q33" s="55"/>
      <c r="R33" s="55"/>
      <c r="S33" s="55"/>
      <c r="T33" s="55">
        <f>AH33</f>
        <v>200.935893</v>
      </c>
      <c r="U33" s="55"/>
      <c r="V33" s="55"/>
      <c r="W33" s="55"/>
      <c r="X33" s="55"/>
      <c r="Y33" s="55"/>
      <c r="Z33" s="55"/>
      <c r="AA33" s="55"/>
      <c r="AB33" s="55"/>
      <c r="AC33" s="55"/>
      <c r="AD33" s="55">
        <f>2*AH33+210</f>
        <v>611.8717859999999</v>
      </c>
      <c r="AE33" s="54"/>
      <c r="AF33" s="55">
        <f>SUM(E33:AE33)</f>
        <v>14238.0382523</v>
      </c>
      <c r="AG33" s="55">
        <f>D33-AF33</f>
        <v>1209.2117476999993</v>
      </c>
      <c r="AH33" s="65">
        <v>200.935893</v>
      </c>
      <c r="AI33" s="65">
        <v>209.785046728</v>
      </c>
    </row>
    <row r="34" spans="1:33" ht="12">
      <c r="A34" s="20"/>
      <c r="B34" s="56" t="s">
        <v>101</v>
      </c>
      <c r="C34" s="20"/>
      <c r="D34" s="59">
        <f>D30+D31+D32+D33</f>
        <v>185367</v>
      </c>
      <c r="E34" s="59">
        <f aca="true" t="shared" si="3" ref="E34:AF34">E30+E31+E32+E33</f>
        <v>48155.28539640001</v>
      </c>
      <c r="F34" s="59">
        <f t="shared" si="3"/>
        <v>3860.956281</v>
      </c>
      <c r="G34" s="59">
        <f t="shared" si="3"/>
        <v>13794.711139300001</v>
      </c>
      <c r="H34" s="59">
        <f t="shared" si="3"/>
        <v>0</v>
      </c>
      <c r="I34" s="59">
        <f t="shared" si="3"/>
        <v>6786.2267291</v>
      </c>
      <c r="J34" s="59">
        <f t="shared" si="3"/>
        <v>5402.124</v>
      </c>
      <c r="K34" s="59">
        <f t="shared" si="3"/>
        <v>0</v>
      </c>
      <c r="L34" s="59">
        <f t="shared" si="3"/>
        <v>0</v>
      </c>
      <c r="M34" s="59">
        <f t="shared" si="3"/>
        <v>4359.4158939</v>
      </c>
      <c r="N34" s="59">
        <f t="shared" si="3"/>
        <v>9145.90935895</v>
      </c>
      <c r="O34" s="59">
        <f t="shared" si="3"/>
        <v>556.6422</v>
      </c>
      <c r="P34" s="59">
        <f t="shared" si="3"/>
        <v>0</v>
      </c>
      <c r="Q34" s="59">
        <f t="shared" si="3"/>
        <v>2581.22274</v>
      </c>
      <c r="R34" s="59">
        <f t="shared" si="3"/>
        <v>11296.772111999999</v>
      </c>
      <c r="S34" s="59">
        <f t="shared" si="3"/>
        <v>2985.5087905</v>
      </c>
      <c r="T34" s="59">
        <f t="shared" si="3"/>
        <v>2006.617066</v>
      </c>
      <c r="U34" s="59">
        <f t="shared" si="3"/>
        <v>0</v>
      </c>
      <c r="V34" s="59">
        <f t="shared" si="3"/>
        <v>0</v>
      </c>
      <c r="W34" s="59">
        <f t="shared" si="3"/>
        <v>2068</v>
      </c>
      <c r="X34" s="59">
        <f t="shared" si="3"/>
        <v>0</v>
      </c>
      <c r="Y34" s="59">
        <f t="shared" si="3"/>
        <v>2735.0653439999996</v>
      </c>
      <c r="Z34" s="59">
        <f t="shared" si="3"/>
        <v>0</v>
      </c>
      <c r="AA34" s="59">
        <f t="shared" si="3"/>
        <v>334.464136</v>
      </c>
      <c r="AB34" s="59">
        <f t="shared" si="3"/>
        <v>0</v>
      </c>
      <c r="AC34" s="59">
        <f t="shared" si="3"/>
        <v>0</v>
      </c>
      <c r="AD34" s="59">
        <f t="shared" si="3"/>
        <v>611.8717859999999</v>
      </c>
      <c r="AE34" s="59">
        <f t="shared" si="3"/>
        <v>0</v>
      </c>
      <c r="AF34" s="60">
        <f t="shared" si="3"/>
        <v>116680.79297314999</v>
      </c>
      <c r="AG34" s="58">
        <f>D34-AF34</f>
        <v>68686.20702685001</v>
      </c>
    </row>
  </sheetData>
  <sheetProtection/>
  <mergeCells count="38">
    <mergeCell ref="Z5:Z17"/>
    <mergeCell ref="AB5:AB17"/>
    <mergeCell ref="AC5:AC17"/>
    <mergeCell ref="AD5:AD17"/>
    <mergeCell ref="AE5:AE17"/>
    <mergeCell ref="H7:H17"/>
    <mergeCell ref="I7:I17"/>
    <mergeCell ref="V7:V17"/>
    <mergeCell ref="W7:W17"/>
    <mergeCell ref="X7:X17"/>
    <mergeCell ref="R5:R17"/>
    <mergeCell ref="S5:S17"/>
    <mergeCell ref="T5:T17"/>
    <mergeCell ref="U5:U17"/>
    <mergeCell ref="V5:X6"/>
    <mergeCell ref="Y5:Y17"/>
    <mergeCell ref="L5:L17"/>
    <mergeCell ref="M5:M17"/>
    <mergeCell ref="N5:N17"/>
    <mergeCell ref="O5:O17"/>
    <mergeCell ref="P5:P17"/>
    <mergeCell ref="Q5:Q17"/>
    <mergeCell ref="E5:E17"/>
    <mergeCell ref="F5:F17"/>
    <mergeCell ref="G5:G17"/>
    <mergeCell ref="H5:I6"/>
    <mergeCell ref="J5:J17"/>
    <mergeCell ref="K5:K17"/>
    <mergeCell ref="A1:AH1"/>
    <mergeCell ref="A2:AH2"/>
    <mergeCell ref="A3:AG3"/>
    <mergeCell ref="A4:A17"/>
    <mergeCell ref="B4:B17"/>
    <mergeCell ref="C4:C17"/>
    <mergeCell ref="D4:D17"/>
    <mergeCell ref="E4:AE4"/>
    <mergeCell ref="AF4:AF17"/>
    <mergeCell ref="AG4:AG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3">
      <selection activeCell="T41" sqref="T41:T43"/>
    </sheetView>
  </sheetViews>
  <sheetFormatPr defaultColWidth="9.140625" defaultRowHeight="12.75"/>
  <cols>
    <col min="1" max="1" width="1.57421875" style="0" customWidth="1"/>
    <col min="2" max="2" width="13.421875" style="61" customWidth="1"/>
    <col min="3" max="3" width="5.8515625" style="0" customWidth="1"/>
    <col min="4" max="4" width="7.8515625" style="0" customWidth="1"/>
    <col min="5" max="5" width="5.421875" style="0" customWidth="1"/>
    <col min="6" max="6" width="3.8515625" style="0" customWidth="1"/>
    <col min="7" max="7" width="2.421875" style="0" customWidth="1"/>
    <col min="8" max="9" width="5.8515625" style="0" customWidth="1"/>
    <col min="10" max="10" width="4.57421875" style="0" customWidth="1"/>
    <col min="11" max="11" width="4.140625" style="0" customWidth="1"/>
    <col min="12" max="12" width="2.140625" style="0" customWidth="1"/>
    <col min="13" max="14" width="5.00390625" style="0" customWidth="1"/>
    <col min="15" max="15" width="5.421875" style="0" customWidth="1"/>
    <col min="16" max="16" width="4.8515625" style="0" customWidth="1"/>
    <col min="17" max="17" width="4.140625" style="0" customWidth="1"/>
    <col min="18" max="18" width="4.8515625" style="0" customWidth="1"/>
    <col min="19" max="19" width="2.00390625" style="0" customWidth="1"/>
    <col min="20" max="20" width="4.57421875" style="0" customWidth="1"/>
    <col min="21" max="21" width="3.00390625" style="0" customWidth="1"/>
    <col min="22" max="22" width="4.57421875" style="0" customWidth="1"/>
    <col min="23" max="23" width="2.421875" style="0" customWidth="1"/>
    <col min="24" max="24" width="3.00390625" style="0" customWidth="1"/>
    <col min="25" max="26" width="4.00390625" style="0" customWidth="1"/>
    <col min="27" max="27" width="6.8515625" style="0" customWidth="1"/>
    <col min="28" max="28" width="7.421875" style="0" customWidth="1"/>
  </cols>
  <sheetData>
    <row r="1" spans="1:29" ht="12">
      <c r="A1" s="117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2" spans="1:29" ht="12.75">
      <c r="A2" s="117" t="s">
        <v>106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</row>
    <row r="3" spans="1:29" ht="15.75" thickBot="1">
      <c r="A3" s="118" t="s">
        <v>53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40"/>
    </row>
    <row r="4" spans="1:29" ht="12">
      <c r="A4" s="120" t="s">
        <v>0</v>
      </c>
      <c r="B4" s="123" t="s">
        <v>54</v>
      </c>
      <c r="C4" s="126" t="s">
        <v>55</v>
      </c>
      <c r="D4" s="128" t="s">
        <v>56</v>
      </c>
      <c r="E4" s="131" t="s">
        <v>57</v>
      </c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3" t="s">
        <v>58</v>
      </c>
      <c r="AB4" s="133" t="s">
        <v>59</v>
      </c>
      <c r="AC4" s="41"/>
    </row>
    <row r="5" spans="1:29" ht="24" customHeight="1">
      <c r="A5" s="121"/>
      <c r="B5" s="124"/>
      <c r="C5" s="127"/>
      <c r="D5" s="129"/>
      <c r="E5" s="136" t="s">
        <v>103</v>
      </c>
      <c r="F5" s="141" t="s">
        <v>64</v>
      </c>
      <c r="G5" s="141" t="s">
        <v>65</v>
      </c>
      <c r="H5" s="144" t="s">
        <v>21</v>
      </c>
      <c r="I5" s="144" t="s">
        <v>105</v>
      </c>
      <c r="J5" s="144" t="s">
        <v>66</v>
      </c>
      <c r="K5" s="144" t="s">
        <v>67</v>
      </c>
      <c r="L5" s="144" t="s">
        <v>68</v>
      </c>
      <c r="M5" s="144" t="s">
        <v>69</v>
      </c>
      <c r="N5" s="144" t="s">
        <v>70</v>
      </c>
      <c r="O5" s="144" t="s">
        <v>71</v>
      </c>
      <c r="P5" s="144" t="s">
        <v>104</v>
      </c>
      <c r="Q5" s="147" t="s">
        <v>73</v>
      </c>
      <c r="R5" s="147"/>
      <c r="S5" s="147"/>
      <c r="T5" s="144" t="s">
        <v>74</v>
      </c>
      <c r="U5" s="144" t="s">
        <v>75</v>
      </c>
      <c r="V5" s="42"/>
      <c r="W5" s="144" t="s">
        <v>76</v>
      </c>
      <c r="X5" s="144" t="s">
        <v>77</v>
      </c>
      <c r="Y5" s="148" t="s">
        <v>78</v>
      </c>
      <c r="Z5" s="138" t="s">
        <v>79</v>
      </c>
      <c r="AA5" s="134"/>
      <c r="AB5" s="134"/>
      <c r="AC5" s="41"/>
    </row>
    <row r="6" spans="1:29" ht="12">
      <c r="A6" s="121"/>
      <c r="B6" s="124"/>
      <c r="C6" s="127"/>
      <c r="D6" s="129"/>
      <c r="E6" s="137"/>
      <c r="F6" s="142"/>
      <c r="G6" s="142"/>
      <c r="H6" s="145"/>
      <c r="I6" s="145"/>
      <c r="J6" s="145"/>
      <c r="K6" s="145"/>
      <c r="L6" s="145"/>
      <c r="M6" s="145"/>
      <c r="N6" s="145"/>
      <c r="O6" s="145"/>
      <c r="P6" s="145"/>
      <c r="Q6" s="147"/>
      <c r="R6" s="147"/>
      <c r="S6" s="147"/>
      <c r="T6" s="145"/>
      <c r="U6" s="145"/>
      <c r="V6" s="43"/>
      <c r="W6" s="145"/>
      <c r="X6" s="145"/>
      <c r="Y6" s="149"/>
      <c r="Z6" s="138"/>
      <c r="AA6" s="134"/>
      <c r="AB6" s="134"/>
      <c r="AC6" s="41"/>
    </row>
    <row r="7" spans="1:29" ht="12">
      <c r="A7" s="121"/>
      <c r="B7" s="124"/>
      <c r="C7" s="127"/>
      <c r="D7" s="129"/>
      <c r="E7" s="137"/>
      <c r="F7" s="142"/>
      <c r="G7" s="142"/>
      <c r="H7" s="145"/>
      <c r="I7" s="145"/>
      <c r="J7" s="145"/>
      <c r="K7" s="145"/>
      <c r="L7" s="145"/>
      <c r="M7" s="145"/>
      <c r="N7" s="145"/>
      <c r="O7" s="145"/>
      <c r="P7" s="145"/>
      <c r="Q7" s="144" t="s">
        <v>82</v>
      </c>
      <c r="R7" s="144" t="s">
        <v>83</v>
      </c>
      <c r="S7" s="144" t="s">
        <v>84</v>
      </c>
      <c r="T7" s="145"/>
      <c r="U7" s="145"/>
      <c r="V7" s="43"/>
      <c r="W7" s="145"/>
      <c r="X7" s="145"/>
      <c r="Y7" s="149"/>
      <c r="Z7" s="138"/>
      <c r="AA7" s="134"/>
      <c r="AB7" s="134"/>
      <c r="AC7" s="41"/>
    </row>
    <row r="8" spans="1:29" ht="12">
      <c r="A8" s="121"/>
      <c r="B8" s="124"/>
      <c r="C8" s="127"/>
      <c r="D8" s="129"/>
      <c r="E8" s="137"/>
      <c r="F8" s="142"/>
      <c r="G8" s="142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43"/>
      <c r="W8" s="145"/>
      <c r="X8" s="145"/>
      <c r="Y8" s="149"/>
      <c r="Z8" s="138"/>
      <c r="AA8" s="134"/>
      <c r="AB8" s="134"/>
      <c r="AC8" s="41"/>
    </row>
    <row r="9" spans="1:29" ht="12">
      <c r="A9" s="121"/>
      <c r="B9" s="124"/>
      <c r="C9" s="127"/>
      <c r="D9" s="129"/>
      <c r="E9" s="137"/>
      <c r="F9" s="142"/>
      <c r="G9" s="142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43"/>
      <c r="W9" s="145"/>
      <c r="X9" s="145"/>
      <c r="Y9" s="149"/>
      <c r="Z9" s="138"/>
      <c r="AA9" s="134"/>
      <c r="AB9" s="134"/>
      <c r="AC9" s="41"/>
    </row>
    <row r="10" spans="1:29" ht="12">
      <c r="A10" s="121"/>
      <c r="B10" s="124"/>
      <c r="C10" s="127"/>
      <c r="D10" s="129"/>
      <c r="E10" s="137"/>
      <c r="F10" s="142"/>
      <c r="G10" s="142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 t="s">
        <v>85</v>
      </c>
      <c r="W10" s="145"/>
      <c r="X10" s="145"/>
      <c r="Y10" s="149"/>
      <c r="Z10" s="138"/>
      <c r="AA10" s="134"/>
      <c r="AB10" s="134"/>
      <c r="AC10" s="41"/>
    </row>
    <row r="11" spans="1:29" ht="12">
      <c r="A11" s="121"/>
      <c r="B11" s="124"/>
      <c r="C11" s="127"/>
      <c r="D11" s="129"/>
      <c r="E11" s="137"/>
      <c r="F11" s="142"/>
      <c r="G11" s="142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9"/>
      <c r="Z11" s="138"/>
      <c r="AA11" s="134"/>
      <c r="AB11" s="134"/>
      <c r="AC11" s="41"/>
    </row>
    <row r="12" spans="1:29" ht="12">
      <c r="A12" s="121"/>
      <c r="B12" s="124"/>
      <c r="C12" s="127"/>
      <c r="D12" s="129"/>
      <c r="E12" s="137"/>
      <c r="F12" s="142"/>
      <c r="G12" s="142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9"/>
      <c r="Z12" s="138"/>
      <c r="AA12" s="134"/>
      <c r="AB12" s="134"/>
      <c r="AC12" s="41"/>
    </row>
    <row r="13" spans="1:29" ht="12">
      <c r="A13" s="121"/>
      <c r="B13" s="124"/>
      <c r="C13" s="127"/>
      <c r="D13" s="129"/>
      <c r="E13" s="137"/>
      <c r="F13" s="142"/>
      <c r="G13" s="142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9"/>
      <c r="Z13" s="138"/>
      <c r="AA13" s="134"/>
      <c r="AB13" s="134"/>
      <c r="AC13" s="41"/>
    </row>
    <row r="14" spans="1:29" ht="12">
      <c r="A14" s="121"/>
      <c r="B14" s="124"/>
      <c r="C14" s="127"/>
      <c r="D14" s="129"/>
      <c r="E14" s="137"/>
      <c r="F14" s="142"/>
      <c r="G14" s="142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9"/>
      <c r="Z14" s="138"/>
      <c r="AA14" s="134"/>
      <c r="AB14" s="134"/>
      <c r="AC14" s="41"/>
    </row>
    <row r="15" spans="1:29" ht="12">
      <c r="A15" s="121"/>
      <c r="B15" s="124"/>
      <c r="C15" s="127"/>
      <c r="D15" s="129"/>
      <c r="E15" s="137"/>
      <c r="F15" s="142"/>
      <c r="G15" s="142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9"/>
      <c r="Z15" s="138"/>
      <c r="AA15" s="134"/>
      <c r="AB15" s="134"/>
      <c r="AC15" s="41"/>
    </row>
    <row r="16" spans="1:29" ht="12">
      <c r="A16" s="121"/>
      <c r="B16" s="124"/>
      <c r="C16" s="127"/>
      <c r="D16" s="129"/>
      <c r="E16" s="137"/>
      <c r="F16" s="142"/>
      <c r="G16" s="142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9"/>
      <c r="Z16" s="138"/>
      <c r="AA16" s="134"/>
      <c r="AB16" s="134"/>
      <c r="AC16" s="41"/>
    </row>
    <row r="17" spans="1:29" ht="12">
      <c r="A17" s="122"/>
      <c r="B17" s="125"/>
      <c r="C17" s="127"/>
      <c r="D17" s="130"/>
      <c r="E17" s="137"/>
      <c r="F17" s="143"/>
      <c r="G17" s="143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50"/>
      <c r="Z17" s="138"/>
      <c r="AA17" s="135"/>
      <c r="AB17" s="135"/>
      <c r="AC17" s="41"/>
    </row>
    <row r="18" spans="1:29" ht="12">
      <c r="A18" s="45"/>
      <c r="B18" s="46"/>
      <c r="C18" s="47"/>
      <c r="D18" s="48"/>
      <c r="E18" s="49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9"/>
      <c r="AA18" s="48"/>
      <c r="AB18" s="48"/>
      <c r="AC18" s="50"/>
    </row>
    <row r="19" spans="1:29" ht="12">
      <c r="A19" s="45"/>
      <c r="B19" s="51" t="s">
        <v>86</v>
      </c>
      <c r="C19" s="52">
        <v>882.7</v>
      </c>
      <c r="D19" s="53">
        <f>17.5*C19</f>
        <v>15447.25</v>
      </c>
      <c r="E19" s="54">
        <f>помесячно!E19+помесячно!F19+помесячно!G19+помесячно!I19+помесячно!J19</f>
        <v>6165.7610105</v>
      </c>
      <c r="F19" s="55"/>
      <c r="G19" s="55"/>
      <c r="H19" s="55"/>
      <c r="I19" s="55">
        <f>0.76*C19</f>
        <v>670.8520000000001</v>
      </c>
      <c r="J19" s="55">
        <f>0.7*C19</f>
        <v>617.89</v>
      </c>
      <c r="K19" s="55"/>
      <c r="L19" s="55"/>
      <c r="M19" s="55"/>
      <c r="N19" s="55"/>
      <c r="O19" s="55"/>
      <c r="P19" s="55">
        <f>2*AC19</f>
        <v>368.6989</v>
      </c>
      <c r="Q19" s="55"/>
      <c r="R19" s="55"/>
      <c r="S19" s="55"/>
      <c r="T19" s="55"/>
      <c r="U19" s="55"/>
      <c r="V19" s="55"/>
      <c r="W19" s="55"/>
      <c r="X19" s="55"/>
      <c r="Y19" s="55"/>
      <c r="Z19" s="54"/>
      <c r="AA19" s="55">
        <f>E19+F19+G19+H19+I19+J19+K19+L19+M19+N19+O19+P19+Q19+R19+S19+T19+U19+W19+X19+Y19+Z19</f>
        <v>7823.201910500001</v>
      </c>
      <c r="AB19" s="55">
        <f>D19-AA19</f>
        <v>7624.048089499999</v>
      </c>
      <c r="AC19" s="62">
        <v>184.34945</v>
      </c>
    </row>
    <row r="20" spans="1:29" ht="12">
      <c r="A20" s="45"/>
      <c r="B20" s="51" t="s">
        <v>87</v>
      </c>
      <c r="C20" s="52">
        <v>882.7</v>
      </c>
      <c r="D20" s="53">
        <f>17.5*C20</f>
        <v>15447.25</v>
      </c>
      <c r="E20" s="54">
        <f>помесячно!E20+помесячно!F20+помесячно!G20+помесячно!J20</f>
        <v>6068.0893728</v>
      </c>
      <c r="F20" s="55"/>
      <c r="G20" s="55"/>
      <c r="H20" s="55"/>
      <c r="I20" s="55">
        <f>0.76*C20</f>
        <v>670.8520000000001</v>
      </c>
      <c r="J20" s="55">
        <f>0.7*C20</f>
        <v>617.89</v>
      </c>
      <c r="K20" s="55"/>
      <c r="L20" s="55"/>
      <c r="M20" s="55"/>
      <c r="N20" s="55">
        <f>8*AC20+84.36-J20+169</f>
        <v>939.3281839999999</v>
      </c>
      <c r="O20" s="55">
        <f>8*AC20+309.4</f>
        <v>1613.2581839999998</v>
      </c>
      <c r="P20" s="55">
        <f>1*AC20</f>
        <v>162.982273</v>
      </c>
      <c r="Q20" s="55"/>
      <c r="R20" s="55"/>
      <c r="S20" s="55"/>
      <c r="T20" s="55">
        <f>8*AC20+77.6</f>
        <v>1381.4581839999998</v>
      </c>
      <c r="U20" s="55"/>
      <c r="V20" s="55"/>
      <c r="W20" s="55"/>
      <c r="X20" s="55"/>
      <c r="Y20" s="55"/>
      <c r="Z20" s="54"/>
      <c r="AA20" s="55">
        <f>E20+F20+G20+H20+I20+J20+K20+L20+M20+N20+O20+P20+Q20+R20+S20+T20+U20+W20+X20+Y20+Z20</f>
        <v>11453.858197799998</v>
      </c>
      <c r="AB20" s="55">
        <f>D20-AA20</f>
        <v>3993.3918022000016</v>
      </c>
      <c r="AC20" s="62">
        <v>162.982273</v>
      </c>
    </row>
    <row r="21" spans="1:29" ht="12">
      <c r="A21" s="45"/>
      <c r="B21" s="51" t="s">
        <v>88</v>
      </c>
      <c r="C21" s="52">
        <v>882.7</v>
      </c>
      <c r="D21" s="53">
        <f>17.5*C21</f>
        <v>15447.25</v>
      </c>
      <c r="E21" s="54">
        <f>помесячно!E21+помесячно!F21+помесячно!G21+помесячно!J21</f>
        <v>5905.1632549</v>
      </c>
      <c r="F21" s="55"/>
      <c r="G21" s="55"/>
      <c r="H21" s="55"/>
      <c r="I21" s="55">
        <f>0.76*C21</f>
        <v>670.8520000000001</v>
      </c>
      <c r="J21" s="55">
        <f>0.7*C21</f>
        <v>617.89</v>
      </c>
      <c r="K21" s="55"/>
      <c r="L21" s="55"/>
      <c r="M21" s="55"/>
      <c r="N21" s="55">
        <f>24*AC21-J21*4.5</f>
        <v>1250.1580800000002</v>
      </c>
      <c r="O21" s="55">
        <f>3*AC21</f>
        <v>503.83288500000003</v>
      </c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4"/>
      <c r="AA21" s="55">
        <f>E21+F21+G21+H21+I21+J21+K21+L21+M21+N21+O21+P21+Q21+R21+S21+T21+U21+W21+X21+Y21+Z21</f>
        <v>8947.8962199</v>
      </c>
      <c r="AB21" s="55">
        <f>D21-AA21</f>
        <v>6499.3537801</v>
      </c>
      <c r="AC21" s="62">
        <v>167.944295</v>
      </c>
    </row>
    <row r="22" spans="1:29" ht="12">
      <c r="A22" s="45"/>
      <c r="B22" s="56" t="s">
        <v>89</v>
      </c>
      <c r="C22" s="47"/>
      <c r="D22" s="57">
        <f>D19+D20+D21</f>
        <v>46341.75</v>
      </c>
      <c r="E22" s="57">
        <f aca="true" t="shared" si="0" ref="E22:AB22">E19+E20+E21</f>
        <v>18139.0136382</v>
      </c>
      <c r="F22" s="57">
        <f t="shared" si="0"/>
        <v>0</v>
      </c>
      <c r="G22" s="57">
        <f t="shared" si="0"/>
        <v>0</v>
      </c>
      <c r="H22" s="57">
        <f t="shared" si="0"/>
        <v>0</v>
      </c>
      <c r="I22" s="57">
        <f t="shared" si="0"/>
        <v>2012.5560000000003</v>
      </c>
      <c r="J22" s="57">
        <f t="shared" si="0"/>
        <v>1853.67</v>
      </c>
      <c r="K22" s="57">
        <f t="shared" si="0"/>
        <v>0</v>
      </c>
      <c r="L22" s="57">
        <f t="shared" si="0"/>
        <v>0</v>
      </c>
      <c r="M22" s="57">
        <f t="shared" si="0"/>
        <v>0</v>
      </c>
      <c r="N22" s="57">
        <f>N19+N20+N21</f>
        <v>2189.486264</v>
      </c>
      <c r="O22" s="57">
        <f t="shared" si="0"/>
        <v>2117.091069</v>
      </c>
      <c r="P22" s="57">
        <f t="shared" si="0"/>
        <v>531.681173</v>
      </c>
      <c r="Q22" s="57">
        <f t="shared" si="0"/>
        <v>0</v>
      </c>
      <c r="R22" s="57">
        <f t="shared" si="0"/>
        <v>0</v>
      </c>
      <c r="S22" s="57">
        <f t="shared" si="0"/>
        <v>0</v>
      </c>
      <c r="T22" s="57">
        <f t="shared" si="0"/>
        <v>1381.4581839999998</v>
      </c>
      <c r="U22" s="57">
        <f t="shared" si="0"/>
        <v>0</v>
      </c>
      <c r="V22" s="57">
        <f t="shared" si="0"/>
        <v>0</v>
      </c>
      <c r="W22" s="57">
        <f t="shared" si="0"/>
        <v>0</v>
      </c>
      <c r="X22" s="57">
        <f t="shared" si="0"/>
        <v>0</v>
      </c>
      <c r="Y22" s="57">
        <f t="shared" si="0"/>
        <v>0</v>
      </c>
      <c r="Z22" s="57">
        <f t="shared" si="0"/>
        <v>0</v>
      </c>
      <c r="AA22" s="57">
        <f t="shared" si="0"/>
        <v>28224.9563282</v>
      </c>
      <c r="AB22" s="57">
        <f t="shared" si="0"/>
        <v>18116.7936718</v>
      </c>
      <c r="AC22" s="50"/>
    </row>
    <row r="23" spans="1:29" ht="12">
      <c r="A23" s="45"/>
      <c r="B23" s="51" t="s">
        <v>90</v>
      </c>
      <c r="C23" s="52">
        <v>882.7</v>
      </c>
      <c r="D23" s="53">
        <f>17.5*C23</f>
        <v>15447.25</v>
      </c>
      <c r="E23" s="54">
        <f>помесячно!E23+помесячно!F23+помесячно!G23+помесячно!I23+помесячно!J23</f>
        <v>6114.3799262</v>
      </c>
      <c r="F23" s="55"/>
      <c r="G23" s="55"/>
      <c r="H23" s="55">
        <f>2.272888*C23</f>
        <v>2006.2782376</v>
      </c>
      <c r="I23" s="55">
        <f>0.76*C23</f>
        <v>670.8520000000001</v>
      </c>
      <c r="J23" s="55">
        <f>0.7*C23</f>
        <v>617.89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4"/>
      <c r="AA23" s="55">
        <f>E23+F23+G23+H23+I23+J23+K23+L23+M23+N23+O23+P23+Q23+R23+S23+T23+U23+V23+W23+X23+Y23+Z23</f>
        <v>9409.4001638</v>
      </c>
      <c r="AB23" s="55">
        <f>D23-AA23</f>
        <v>6037.849836199999</v>
      </c>
      <c r="AC23" s="63">
        <v>188.196221</v>
      </c>
    </row>
    <row r="24" spans="1:29" ht="12">
      <c r="A24" s="45"/>
      <c r="B24" s="51" t="s">
        <v>91</v>
      </c>
      <c r="C24" s="52">
        <v>882.7</v>
      </c>
      <c r="D24" s="53">
        <f>17.5*C24</f>
        <v>15447.25</v>
      </c>
      <c r="E24" s="54">
        <f>помесячно!E24+помесячно!F24+помесячно!G24+помесячно!J24</f>
        <v>5820.3816853</v>
      </c>
      <c r="F24" s="55"/>
      <c r="G24" s="55"/>
      <c r="H24" s="55">
        <f>4.5*AC24</f>
        <v>609.5290275</v>
      </c>
      <c r="I24" s="55">
        <f>0.76*C24</f>
        <v>670.8520000000001</v>
      </c>
      <c r="J24" s="55">
        <f>0.7*C24</f>
        <v>617.89</v>
      </c>
      <c r="K24" s="55"/>
      <c r="L24" s="55"/>
      <c r="M24" s="55"/>
      <c r="N24" s="55"/>
      <c r="O24" s="55"/>
      <c r="P24" s="55"/>
      <c r="Q24" s="55"/>
      <c r="R24" s="55"/>
      <c r="S24" s="55"/>
      <c r="T24" s="55">
        <f>8*AC24+270</f>
        <v>1353.60716</v>
      </c>
      <c r="U24" s="55"/>
      <c r="V24" s="55"/>
      <c r="W24" s="55"/>
      <c r="X24" s="55"/>
      <c r="Y24" s="55"/>
      <c r="Z24" s="54"/>
      <c r="AA24" s="55">
        <f>E24+F24+G24+H24+I24+J24+K24+L24+M24+N24+O24+P24+Q24+R24+S24+T24+U24+V24+W24+X24+Y24+Z24</f>
        <v>9072.2598728</v>
      </c>
      <c r="AB24" s="55">
        <f>D24-AA24</f>
        <v>6374.990127200001</v>
      </c>
      <c r="AC24" s="63">
        <v>135.450895</v>
      </c>
    </row>
    <row r="25" spans="1:30" ht="12">
      <c r="A25" s="45"/>
      <c r="B25" s="51" t="s">
        <v>92</v>
      </c>
      <c r="C25" s="52">
        <v>882.7</v>
      </c>
      <c r="D25" s="53">
        <f>17.5*C25</f>
        <v>15447.25</v>
      </c>
      <c r="E25" s="54">
        <f>помесячно!E25+помесячно!F25+помесячно!G25+помесячно!J25</f>
        <v>6131.0214693</v>
      </c>
      <c r="F25" s="55"/>
      <c r="G25" s="55"/>
      <c r="H25" s="55">
        <f>4.5*AC25+AD25*C25</f>
        <v>799.0925424</v>
      </c>
      <c r="I25" s="55">
        <f>0.76*C25</f>
        <v>670.8520000000001</v>
      </c>
      <c r="J25" s="55">
        <f>0.7*C25</f>
        <v>617.89</v>
      </c>
      <c r="K25" s="55"/>
      <c r="L25" s="55"/>
      <c r="M25" s="55">
        <f>4*AC25+39</f>
        <v>675.866196</v>
      </c>
      <c r="N25" s="55"/>
      <c r="O25" s="55"/>
      <c r="P25" s="55">
        <v>1274</v>
      </c>
      <c r="Q25" s="55"/>
      <c r="R25" s="55">
        <f>94*22</f>
        <v>2068</v>
      </c>
      <c r="S25" s="55"/>
      <c r="T25" s="55"/>
      <c r="U25" s="55"/>
      <c r="V25" s="55"/>
      <c r="W25" s="55"/>
      <c r="X25" s="55"/>
      <c r="Y25" s="55"/>
      <c r="Z25" s="54"/>
      <c r="AA25" s="55">
        <f>E25+F25+G25+H25+I25+J25+K25+L25+M25+N25+O25+P25+Q25+R25+S25+T25+U25+V25+W25+X25+Y25+Z25</f>
        <v>12236.7222077</v>
      </c>
      <c r="AB25" s="55">
        <f>D25-AA25</f>
        <v>3210.5277922999994</v>
      </c>
      <c r="AC25" s="63">
        <v>159.216549</v>
      </c>
      <c r="AD25" s="64">
        <v>0.093597</v>
      </c>
    </row>
    <row r="26" spans="1:29" ht="12">
      <c r="A26" s="45"/>
      <c r="B26" s="56" t="s">
        <v>93</v>
      </c>
      <c r="C26" s="47"/>
      <c r="D26" s="57">
        <f>D22+D23+D24+D25</f>
        <v>92683.5</v>
      </c>
      <c r="E26" s="57">
        <f aca="true" t="shared" si="1" ref="E26:AB26">E22+E23+E24+E25</f>
        <v>36204.796719</v>
      </c>
      <c r="F26" s="57">
        <f t="shared" si="1"/>
        <v>0</v>
      </c>
      <c r="G26" s="57">
        <f t="shared" si="1"/>
        <v>0</v>
      </c>
      <c r="H26" s="57">
        <f t="shared" si="1"/>
        <v>3414.8998075</v>
      </c>
      <c r="I26" s="57">
        <f t="shared" si="1"/>
        <v>4025.112</v>
      </c>
      <c r="J26" s="57">
        <f t="shared" si="1"/>
        <v>3707.3399999999997</v>
      </c>
      <c r="K26" s="57">
        <f t="shared" si="1"/>
        <v>0</v>
      </c>
      <c r="L26" s="57">
        <f t="shared" si="1"/>
        <v>0</v>
      </c>
      <c r="M26" s="57">
        <f t="shared" si="1"/>
        <v>675.866196</v>
      </c>
      <c r="N26" s="57">
        <f t="shared" si="1"/>
        <v>2189.486264</v>
      </c>
      <c r="O26" s="57">
        <f t="shared" si="1"/>
        <v>2117.091069</v>
      </c>
      <c r="P26" s="57">
        <f t="shared" si="1"/>
        <v>1805.681173</v>
      </c>
      <c r="Q26" s="57">
        <f t="shared" si="1"/>
        <v>0</v>
      </c>
      <c r="R26" s="57">
        <f t="shared" si="1"/>
        <v>2068</v>
      </c>
      <c r="S26" s="57">
        <f t="shared" si="1"/>
        <v>0</v>
      </c>
      <c r="T26" s="57">
        <f t="shared" si="1"/>
        <v>2735.0653439999996</v>
      </c>
      <c r="U26" s="57">
        <f t="shared" si="1"/>
        <v>0</v>
      </c>
      <c r="V26" s="57">
        <f t="shared" si="1"/>
        <v>0</v>
      </c>
      <c r="W26" s="57">
        <f t="shared" si="1"/>
        <v>0</v>
      </c>
      <c r="X26" s="57">
        <f t="shared" si="1"/>
        <v>0</v>
      </c>
      <c r="Y26" s="57">
        <f t="shared" si="1"/>
        <v>0</v>
      </c>
      <c r="Z26" s="57">
        <f t="shared" si="1"/>
        <v>0</v>
      </c>
      <c r="AA26" s="57">
        <f t="shared" si="1"/>
        <v>58943.33857250001</v>
      </c>
      <c r="AB26" s="57">
        <f t="shared" si="1"/>
        <v>33740.1614275</v>
      </c>
      <c r="AC26" s="50"/>
    </row>
    <row r="27" spans="1:29" ht="12">
      <c r="A27" s="45"/>
      <c r="B27" s="51" t="s">
        <v>94</v>
      </c>
      <c r="C27" s="52">
        <v>882.7</v>
      </c>
      <c r="D27" s="53">
        <f>17.5*C27</f>
        <v>15447.25</v>
      </c>
      <c r="E27" s="54">
        <f>помесячно!E27+помесячно!F27+помесячно!G27+помесячно!J27</f>
        <v>5732.9502503</v>
      </c>
      <c r="F27" s="55"/>
      <c r="G27" s="55"/>
      <c r="H27" s="55">
        <f>4.6*AC27</f>
        <v>944.5160864</v>
      </c>
      <c r="I27" s="55">
        <f>0.76*C27</f>
        <v>670.8520000000001</v>
      </c>
      <c r="J27" s="55">
        <f>0.7*C27</f>
        <v>617.89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4"/>
      <c r="AA27" s="55">
        <f>E27+F27+G27+H27+I27+J27+K27+L27+M27+N27+O27+P27+Q27+R27+S27+T27+U27+V27+W27+X27+Y27+Z27</f>
        <v>7966.2083367000005</v>
      </c>
      <c r="AB27" s="55">
        <f>D27-AA27</f>
        <v>7481.0416632999995</v>
      </c>
      <c r="AC27" s="63">
        <v>205.329584</v>
      </c>
    </row>
    <row r="28" spans="1:29" ht="12" customHeight="1">
      <c r="A28" s="45"/>
      <c r="B28" s="46" t="s">
        <v>95</v>
      </c>
      <c r="C28" s="52">
        <v>882.7</v>
      </c>
      <c r="D28" s="53">
        <f>17.5*C28</f>
        <v>15447.25</v>
      </c>
      <c r="E28" s="54">
        <f>помесячно!E28+помесячно!F28+помесячно!G28+помесячно!J28</f>
        <v>6678.4543553</v>
      </c>
      <c r="F28" s="55"/>
      <c r="G28" s="55"/>
      <c r="H28" s="55"/>
      <c r="I28" s="55">
        <f>0.76*C28</f>
        <v>670.8520000000001</v>
      </c>
      <c r="J28" s="55">
        <f>0.7*C28</f>
        <v>617.89</v>
      </c>
      <c r="K28" s="55"/>
      <c r="L28" s="55"/>
      <c r="M28" s="55"/>
      <c r="N28" s="55">
        <f>4*AC28+212.5-J28</f>
        <v>607.501128</v>
      </c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4"/>
      <c r="AA28" s="55">
        <f>E28+F28+G28+H28+I28+J28+K28+L28+M28+N28+O28+P28+Q28+R28+S28+T28+U28+V28+W28+X28+Y28+Z28</f>
        <v>8574.6974833</v>
      </c>
      <c r="AB28" s="55">
        <f>D28-AA28</f>
        <v>6872.5525167</v>
      </c>
      <c r="AC28" s="63">
        <v>253.222782</v>
      </c>
    </row>
    <row r="29" spans="1:29" ht="12">
      <c r="A29" s="45"/>
      <c r="B29" s="46" t="s">
        <v>96</v>
      </c>
      <c r="C29" s="52">
        <v>882.7</v>
      </c>
      <c r="D29" s="53">
        <f>17.5*C29</f>
        <v>15447.25</v>
      </c>
      <c r="E29" s="54">
        <f>помесячно!E29+помесячно!F29+помесячно!G29+помесячно!I29+помесячно!J29</f>
        <v>6087.631468099999</v>
      </c>
      <c r="F29" s="55"/>
      <c r="G29" s="55"/>
      <c r="H29" s="55"/>
      <c r="I29" s="55">
        <f>0.76*C29</f>
        <v>670.8520000000001</v>
      </c>
      <c r="J29" s="55">
        <f>0.7*C29</f>
        <v>617.89</v>
      </c>
      <c r="K29" s="55">
        <f>3*AC29</f>
        <v>556.6422</v>
      </c>
      <c r="L29" s="55"/>
      <c r="M29" s="55"/>
      <c r="N29" s="55">
        <f>12*AC29-J29*2</f>
        <v>990.7888</v>
      </c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4"/>
      <c r="AA29" s="55">
        <f>E29+F29+G29+H29+I29+J29+K29+L29+M29+N29+O29+P29+Q29+R29+S29+T29+U29+V29+W29+X29+Y29+Z29</f>
        <v>8923.8044681</v>
      </c>
      <c r="AB29" s="55">
        <f>D29-AA29</f>
        <v>6523.445531900001</v>
      </c>
      <c r="AC29" s="63">
        <v>185.5474</v>
      </c>
    </row>
    <row r="30" spans="1:29" ht="12">
      <c r="A30" s="45"/>
      <c r="B30" s="56" t="s">
        <v>97</v>
      </c>
      <c r="C30" s="47"/>
      <c r="D30" s="57">
        <f aca="true" t="shared" si="2" ref="D30:AB30">D26+D27+D29+D28</f>
        <v>139025.25</v>
      </c>
      <c r="E30" s="57">
        <f t="shared" si="2"/>
        <v>54703.83279270001</v>
      </c>
      <c r="F30" s="57">
        <f t="shared" si="2"/>
        <v>0</v>
      </c>
      <c r="G30" s="57">
        <f t="shared" si="2"/>
        <v>0</v>
      </c>
      <c r="H30" s="57">
        <f t="shared" si="2"/>
        <v>4359.4158939</v>
      </c>
      <c r="I30" s="57">
        <f t="shared" si="2"/>
        <v>6037.668</v>
      </c>
      <c r="J30" s="57">
        <f t="shared" si="2"/>
        <v>5561.01</v>
      </c>
      <c r="K30" s="57">
        <f t="shared" si="2"/>
        <v>556.6422</v>
      </c>
      <c r="L30" s="57">
        <f t="shared" si="2"/>
        <v>0</v>
      </c>
      <c r="M30" s="57">
        <f t="shared" si="2"/>
        <v>675.866196</v>
      </c>
      <c r="N30" s="57">
        <f t="shared" si="2"/>
        <v>3787.7761920000003</v>
      </c>
      <c r="O30" s="57">
        <f t="shared" si="2"/>
        <v>2117.091069</v>
      </c>
      <c r="P30" s="57">
        <f t="shared" si="2"/>
        <v>1805.681173</v>
      </c>
      <c r="Q30" s="57">
        <f t="shared" si="2"/>
        <v>0</v>
      </c>
      <c r="R30" s="57">
        <f t="shared" si="2"/>
        <v>2068</v>
      </c>
      <c r="S30" s="57">
        <f t="shared" si="2"/>
        <v>0</v>
      </c>
      <c r="T30" s="57">
        <f t="shared" si="2"/>
        <v>2735.0653439999996</v>
      </c>
      <c r="U30" s="57">
        <f t="shared" si="2"/>
        <v>0</v>
      </c>
      <c r="V30" s="57">
        <f t="shared" si="2"/>
        <v>0</v>
      </c>
      <c r="W30" s="57">
        <f t="shared" si="2"/>
        <v>0</v>
      </c>
      <c r="X30" s="57">
        <f t="shared" si="2"/>
        <v>0</v>
      </c>
      <c r="Y30" s="57">
        <f t="shared" si="2"/>
        <v>0</v>
      </c>
      <c r="Z30" s="57">
        <f t="shared" si="2"/>
        <v>0</v>
      </c>
      <c r="AA30" s="58">
        <f>AA26+AA27+AA28+AA29</f>
        <v>84408.04886060001</v>
      </c>
      <c r="AB30" s="57">
        <f t="shared" si="2"/>
        <v>54617.2011394</v>
      </c>
      <c r="AC30" s="50"/>
    </row>
    <row r="31" spans="1:30" ht="12">
      <c r="A31" s="20"/>
      <c r="B31" s="51" t="s">
        <v>98</v>
      </c>
      <c r="C31" s="52">
        <v>882.7</v>
      </c>
      <c r="D31" s="53">
        <f>17.5*C31</f>
        <v>15447.25</v>
      </c>
      <c r="E31" s="54">
        <f>помесячно!E31+помесячно!F31+помесячно!G31+помесячно!I31+помесячно!J31</f>
        <v>5448.2044708</v>
      </c>
      <c r="F31" s="55"/>
      <c r="G31" s="55"/>
      <c r="H31" s="55"/>
      <c r="I31" s="55">
        <f>0.76*C31</f>
        <v>670.8520000000001</v>
      </c>
      <c r="J31" s="55">
        <f>0.7*C31</f>
        <v>617.89</v>
      </c>
      <c r="K31" s="55"/>
      <c r="L31" s="55"/>
      <c r="M31" s="55">
        <f>8*AC31+567.5</f>
        <v>1905.356544</v>
      </c>
      <c r="N31" s="55"/>
      <c r="O31" s="55"/>
      <c r="P31" s="55"/>
      <c r="Q31" s="55"/>
      <c r="R31" s="55"/>
      <c r="S31" s="55"/>
      <c r="T31" s="55"/>
      <c r="U31" s="55"/>
      <c r="V31" s="55">
        <f>2*AC31</f>
        <v>334.464136</v>
      </c>
      <c r="W31" s="55"/>
      <c r="X31" s="55"/>
      <c r="Y31" s="55"/>
      <c r="Z31" s="54"/>
      <c r="AA31" s="55">
        <f>SUM(E31:Z31)</f>
        <v>8976.7671508</v>
      </c>
      <c r="AB31" s="55">
        <f>D31-AA31</f>
        <v>6470.4828492</v>
      </c>
      <c r="AC31" s="66">
        <v>167.232068</v>
      </c>
      <c r="AD31" s="67">
        <v>374.1297</v>
      </c>
    </row>
    <row r="32" spans="1:30" ht="12">
      <c r="A32" s="20"/>
      <c r="B32" s="51" t="s">
        <v>99</v>
      </c>
      <c r="C32" s="52">
        <v>882.7</v>
      </c>
      <c r="D32" s="53">
        <f>17.5*C32</f>
        <v>15447.25</v>
      </c>
      <c r="E32" s="54">
        <f>помесячно!E32+помесячно!F32+помесячно!G32+помесячно!J32</f>
        <v>5623.254473200001</v>
      </c>
      <c r="F32" s="55"/>
      <c r="G32" s="55"/>
      <c r="H32" s="55"/>
      <c r="I32" s="55">
        <f>0.76*C32</f>
        <v>670.8520000000001</v>
      </c>
      <c r="J32" s="55">
        <f>0.7*C32</f>
        <v>617.89</v>
      </c>
      <c r="K32" s="55"/>
      <c r="L32" s="55"/>
      <c r="M32" s="55"/>
      <c r="N32" s="55">
        <f>12*AC32-J32*2</f>
        <v>1190.1509199999998</v>
      </c>
      <c r="O32" s="55">
        <f>3*AD32+16</f>
        <v>868.4177215000001</v>
      </c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4"/>
      <c r="AA32" s="55">
        <f>SUM(E32:Z32)</f>
        <v>8970.5651147</v>
      </c>
      <c r="AB32" s="55">
        <f>D32-AA32</f>
        <v>6476.684885299999</v>
      </c>
      <c r="AC32" s="66">
        <v>202.16091</v>
      </c>
      <c r="AD32" s="67">
        <v>284.1392405</v>
      </c>
    </row>
    <row r="33" spans="1:30" ht="12">
      <c r="A33" s="20"/>
      <c r="B33" s="51" t="s">
        <v>100</v>
      </c>
      <c r="C33" s="52">
        <v>882.7</v>
      </c>
      <c r="D33" s="53">
        <f>17.5*C33</f>
        <v>15447.25</v>
      </c>
      <c r="E33" s="54">
        <f>помесячно!E33+помесячно!F33+помесячно!G33+помесячно!I33+помесячно!J33</f>
        <v>12224.0118091</v>
      </c>
      <c r="F33" s="55"/>
      <c r="G33" s="55"/>
      <c r="H33" s="55"/>
      <c r="I33" s="55">
        <f>0.76*C33</f>
        <v>670.8520000000001</v>
      </c>
      <c r="J33" s="55">
        <f>0.7*C33</f>
        <v>617.89</v>
      </c>
      <c r="K33" s="55"/>
      <c r="L33" s="55"/>
      <c r="M33" s="55"/>
      <c r="N33" s="55"/>
      <c r="O33" s="55"/>
      <c r="P33" s="55">
        <f>AC33</f>
        <v>200.935893</v>
      </c>
      <c r="Q33" s="55"/>
      <c r="R33" s="55"/>
      <c r="S33" s="55"/>
      <c r="T33" s="55"/>
      <c r="U33" s="55"/>
      <c r="V33" s="55"/>
      <c r="W33" s="55"/>
      <c r="X33" s="55"/>
      <c r="Y33" s="55">
        <f>2*AC33+210</f>
        <v>611.8717859999999</v>
      </c>
      <c r="Z33" s="54"/>
      <c r="AA33" s="55">
        <f>SUM(E33:Z33)</f>
        <v>14325.5614881</v>
      </c>
      <c r="AB33" s="55">
        <f>D33-AA33</f>
        <v>1121.6885118999999</v>
      </c>
      <c r="AC33" s="65">
        <v>200.935893</v>
      </c>
      <c r="AD33" s="65">
        <v>209.785046728</v>
      </c>
    </row>
    <row r="34" spans="1:28" s="68" customFormat="1" ht="13.5" customHeight="1">
      <c r="A34" s="1"/>
      <c r="B34" s="69" t="s">
        <v>101</v>
      </c>
      <c r="C34" s="1"/>
      <c r="D34" s="60">
        <f>D30+D31+D32+D33</f>
        <v>185367</v>
      </c>
      <c r="E34" s="60">
        <f aca="true" t="shared" si="3" ref="E34:AA34">E30+E31+E32+E33</f>
        <v>77999.30354580001</v>
      </c>
      <c r="F34" s="60">
        <f t="shared" si="3"/>
        <v>0</v>
      </c>
      <c r="G34" s="60">
        <f t="shared" si="3"/>
        <v>0</v>
      </c>
      <c r="H34" s="60">
        <f t="shared" si="3"/>
        <v>4359.4158939</v>
      </c>
      <c r="I34" s="60">
        <f t="shared" si="3"/>
        <v>8050.223999999999</v>
      </c>
      <c r="J34" s="60">
        <f t="shared" si="3"/>
        <v>7414.680000000001</v>
      </c>
      <c r="K34" s="60">
        <f t="shared" si="3"/>
        <v>556.6422</v>
      </c>
      <c r="L34" s="60">
        <f t="shared" si="3"/>
        <v>0</v>
      </c>
      <c r="M34" s="60">
        <f t="shared" si="3"/>
        <v>2581.22274</v>
      </c>
      <c r="N34" s="60">
        <f t="shared" si="3"/>
        <v>4977.927112</v>
      </c>
      <c r="O34" s="60">
        <f t="shared" si="3"/>
        <v>2985.5087905</v>
      </c>
      <c r="P34" s="60">
        <f t="shared" si="3"/>
        <v>2006.617066</v>
      </c>
      <c r="Q34" s="60">
        <f t="shared" si="3"/>
        <v>0</v>
      </c>
      <c r="R34" s="60">
        <f t="shared" si="3"/>
        <v>2068</v>
      </c>
      <c r="S34" s="60">
        <f t="shared" si="3"/>
        <v>0</v>
      </c>
      <c r="T34" s="60">
        <f t="shared" si="3"/>
        <v>2735.0653439999996</v>
      </c>
      <c r="U34" s="60">
        <f t="shared" si="3"/>
        <v>0</v>
      </c>
      <c r="V34" s="60">
        <f t="shared" si="3"/>
        <v>334.464136</v>
      </c>
      <c r="W34" s="60">
        <f t="shared" si="3"/>
        <v>0</v>
      </c>
      <c r="X34" s="60">
        <f t="shared" si="3"/>
        <v>0</v>
      </c>
      <c r="Y34" s="60">
        <f t="shared" si="3"/>
        <v>611.8717859999999</v>
      </c>
      <c r="Z34" s="60">
        <f t="shared" si="3"/>
        <v>0</v>
      </c>
      <c r="AA34" s="60">
        <f t="shared" si="3"/>
        <v>116680.94261420003</v>
      </c>
      <c r="AB34" s="58">
        <f>D34-AA34</f>
        <v>68686.05738579997</v>
      </c>
    </row>
  </sheetData>
  <sheetProtection/>
  <mergeCells count="33">
    <mergeCell ref="W5:W17"/>
    <mergeCell ref="X5:X17"/>
    <mergeCell ref="Y5:Y17"/>
    <mergeCell ref="Z5:Z17"/>
    <mergeCell ref="Q7:Q17"/>
    <mergeCell ref="R7:R17"/>
    <mergeCell ref="S7:S17"/>
    <mergeCell ref="N5:N17"/>
    <mergeCell ref="O5:O17"/>
    <mergeCell ref="P5:P17"/>
    <mergeCell ref="Q5:S6"/>
    <mergeCell ref="T5:T17"/>
    <mergeCell ref="U5:U17"/>
    <mergeCell ref="A1:AC1"/>
    <mergeCell ref="A2:AC2"/>
    <mergeCell ref="A3:AB3"/>
    <mergeCell ref="A4:A17"/>
    <mergeCell ref="B4:B17"/>
    <mergeCell ref="C4:C17"/>
    <mergeCell ref="D4:D17"/>
    <mergeCell ref="E4:Z4"/>
    <mergeCell ref="G5:G17"/>
    <mergeCell ref="H5:H17"/>
    <mergeCell ref="AA4:AA17"/>
    <mergeCell ref="AB4:AB17"/>
    <mergeCell ref="V10:V17"/>
    <mergeCell ref="I5:I17"/>
    <mergeCell ref="E5:E17"/>
    <mergeCell ref="F5:F17"/>
    <mergeCell ref="J5:J17"/>
    <mergeCell ref="K5:K17"/>
    <mergeCell ref="L5:L17"/>
    <mergeCell ref="M5:M17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2.00390625" style="71" customWidth="1"/>
    <col min="2" max="2" width="97.57421875" style="71" customWidth="1"/>
    <col min="3" max="3" width="9.421875" style="70" customWidth="1"/>
    <col min="4" max="16384" width="9.140625" style="71" customWidth="1"/>
  </cols>
  <sheetData>
    <row r="1" spans="1:3" ht="15">
      <c r="A1" s="158" t="s">
        <v>133</v>
      </c>
      <c r="B1" s="158"/>
      <c r="C1" s="158"/>
    </row>
    <row r="2" spans="1:3" ht="14.25" customHeight="1">
      <c r="A2" s="159" t="s">
        <v>107</v>
      </c>
      <c r="B2" s="159"/>
      <c r="C2" s="159"/>
    </row>
    <row r="3" spans="1:3" ht="14.25" customHeight="1" thickBot="1">
      <c r="A3" s="81"/>
      <c r="B3" s="81"/>
      <c r="C3" s="81"/>
    </row>
    <row r="4" spans="1:3" s="72" customFormat="1" ht="14.25" thickBot="1">
      <c r="A4" s="82" t="s">
        <v>108</v>
      </c>
      <c r="B4" s="106" t="s">
        <v>109</v>
      </c>
      <c r="C4" s="83" t="s">
        <v>110</v>
      </c>
    </row>
    <row r="5" spans="1:3" ht="18" thickBot="1">
      <c r="A5" s="92" t="s">
        <v>86</v>
      </c>
      <c r="B5" s="105" t="s">
        <v>114</v>
      </c>
      <c r="C5" s="100">
        <v>2</v>
      </c>
    </row>
    <row r="6" spans="1:3" ht="17.25">
      <c r="A6" s="90" t="s">
        <v>87</v>
      </c>
      <c r="B6" s="74" t="s">
        <v>115</v>
      </c>
      <c r="C6" s="96">
        <f>1+8</f>
        <v>9</v>
      </c>
    </row>
    <row r="7" spans="1:3" ht="15">
      <c r="A7" s="97"/>
      <c r="B7" s="74" t="s">
        <v>116</v>
      </c>
      <c r="C7" s="91">
        <v>8</v>
      </c>
    </row>
    <row r="8" spans="1:3" ht="15">
      <c r="A8" s="97"/>
      <c r="B8" s="74" t="s">
        <v>117</v>
      </c>
      <c r="C8" s="91">
        <v>5</v>
      </c>
    </row>
    <row r="9" spans="1:3" ht="15.75" thickBot="1">
      <c r="A9" s="98"/>
      <c r="B9" s="75" t="s">
        <v>111</v>
      </c>
      <c r="C9" s="93">
        <v>3</v>
      </c>
    </row>
    <row r="10" spans="1:3" ht="17.25">
      <c r="A10" s="90" t="s">
        <v>112</v>
      </c>
      <c r="B10" s="73" t="s">
        <v>113</v>
      </c>
      <c r="C10" s="96">
        <v>12</v>
      </c>
    </row>
    <row r="11" spans="1:3" ht="17.25">
      <c r="A11" s="90"/>
      <c r="B11" s="74" t="s">
        <v>118</v>
      </c>
      <c r="C11" s="91">
        <v>12</v>
      </c>
    </row>
    <row r="12" spans="1:3" ht="18" thickBot="1">
      <c r="A12" s="92"/>
      <c r="B12" s="75" t="s">
        <v>111</v>
      </c>
      <c r="C12" s="93">
        <v>3</v>
      </c>
    </row>
    <row r="13" spans="1:3" ht="18.75" customHeight="1">
      <c r="A13" s="155" t="s">
        <v>91</v>
      </c>
      <c r="B13" s="76" t="s">
        <v>119</v>
      </c>
      <c r="C13" s="99">
        <v>8</v>
      </c>
    </row>
    <row r="14" spans="1:3" ht="15">
      <c r="A14" s="156"/>
      <c r="B14" s="74" t="s">
        <v>120</v>
      </c>
      <c r="C14" s="91">
        <v>4.5</v>
      </c>
    </row>
    <row r="15" spans="1:3" ht="15">
      <c r="A15" s="156"/>
      <c r="B15" s="74"/>
      <c r="C15" s="91"/>
    </row>
    <row r="16" spans="1:3" ht="15.75" thickBot="1">
      <c r="A16" s="157"/>
      <c r="B16" s="77"/>
      <c r="C16" s="100"/>
    </row>
    <row r="17" spans="1:3" ht="15">
      <c r="A17" s="156" t="s">
        <v>92</v>
      </c>
      <c r="B17" s="74" t="s">
        <v>121</v>
      </c>
      <c r="C17" s="91">
        <v>4</v>
      </c>
    </row>
    <row r="18" spans="1:3" ht="15">
      <c r="A18" s="156"/>
      <c r="B18" s="74" t="s">
        <v>122</v>
      </c>
      <c r="C18" s="91">
        <v>8</v>
      </c>
    </row>
    <row r="19" spans="1:3" ht="15.75" thickBot="1">
      <c r="A19" s="156"/>
      <c r="B19" s="76" t="s">
        <v>120</v>
      </c>
      <c r="C19" s="99">
        <v>4.5</v>
      </c>
    </row>
    <row r="20" spans="1:3" ht="18" thickBot="1">
      <c r="A20" s="87" t="s">
        <v>94</v>
      </c>
      <c r="B20" s="84" t="s">
        <v>120</v>
      </c>
      <c r="C20" s="101">
        <v>4.5</v>
      </c>
    </row>
    <row r="21" spans="1:3" s="86" customFormat="1" ht="18" thickBot="1">
      <c r="A21" s="85" t="s">
        <v>95</v>
      </c>
      <c r="B21" s="78" t="s">
        <v>123</v>
      </c>
      <c r="C21" s="102">
        <v>4</v>
      </c>
    </row>
    <row r="22" spans="1:3" ht="17.25">
      <c r="A22" s="87" t="s">
        <v>96</v>
      </c>
      <c r="B22" s="88" t="s">
        <v>124</v>
      </c>
      <c r="C22" s="89">
        <v>1</v>
      </c>
    </row>
    <row r="23" spans="1:3" ht="17.25">
      <c r="A23" s="90"/>
      <c r="B23" s="74" t="s">
        <v>125</v>
      </c>
      <c r="C23" s="91">
        <v>12</v>
      </c>
    </row>
    <row r="24" spans="1:3" ht="18" thickBot="1">
      <c r="A24" s="92"/>
      <c r="B24" s="75" t="s">
        <v>126</v>
      </c>
      <c r="C24" s="93">
        <v>2</v>
      </c>
    </row>
    <row r="25" spans="1:3" ht="15" customHeight="1">
      <c r="A25" s="90" t="s">
        <v>98</v>
      </c>
      <c r="B25" s="73" t="s">
        <v>127</v>
      </c>
      <c r="C25" s="96">
        <v>8</v>
      </c>
    </row>
    <row r="26" spans="1:3" ht="15" customHeight="1">
      <c r="A26" s="103"/>
      <c r="B26" s="74" t="s">
        <v>128</v>
      </c>
      <c r="C26" s="91">
        <v>2</v>
      </c>
    </row>
    <row r="27" spans="1:3" ht="17.25">
      <c r="A27" s="90" t="s">
        <v>99</v>
      </c>
      <c r="B27" s="80" t="s">
        <v>129</v>
      </c>
      <c r="C27" s="96">
        <v>12</v>
      </c>
    </row>
    <row r="28" spans="1:3" ht="18" thickBot="1">
      <c r="A28" s="90"/>
      <c r="B28" s="94" t="s">
        <v>130</v>
      </c>
      <c r="C28" s="104">
        <v>3</v>
      </c>
    </row>
    <row r="29" spans="1:3" ht="17.25">
      <c r="A29" s="87" t="s">
        <v>100</v>
      </c>
      <c r="B29" s="95" t="s">
        <v>131</v>
      </c>
      <c r="C29" s="89">
        <v>2</v>
      </c>
    </row>
    <row r="30" spans="1:3" ht="18" thickBot="1">
      <c r="A30" s="92"/>
      <c r="B30" s="79" t="s">
        <v>132</v>
      </c>
      <c r="C30" s="93">
        <v>1</v>
      </c>
    </row>
  </sheetData>
  <sheetProtection/>
  <mergeCells count="4">
    <mergeCell ref="A13:A16"/>
    <mergeCell ref="A17:A19"/>
    <mergeCell ref="A1:C1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2023-02-20T07:13:29Z</cp:lastPrinted>
  <dcterms:created xsi:type="dcterms:W3CDTF">1996-10-08T23:32:33Z</dcterms:created>
  <dcterms:modified xsi:type="dcterms:W3CDTF">2023-02-27T06:53:36Z</dcterms:modified>
  <cp:category/>
  <cp:version/>
  <cp:contentType/>
  <cp:contentStatus/>
</cp:coreProperties>
</file>