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  <sheet name="описание работ" sheetId="2" r:id="rId2"/>
    <sheet name="затраты помес" sheetId="3" r:id="rId3"/>
    <sheet name="затр.для собствен." sheetId="4" r:id="rId4"/>
  </sheets>
  <definedNames/>
  <calcPr fullCalcOnLoad="1"/>
</workbook>
</file>

<file path=xl/sharedStrings.xml><?xml version="1.0" encoding="utf-8"?>
<sst xmlns="http://schemas.openxmlformats.org/spreadsheetml/2006/main" count="164" uniqueCount="111">
  <si>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</si>
  <si>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</si>
  <si>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</si>
  <si>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</si>
  <si>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</si>
  <si>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</si>
  <si>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</si>
  <si>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Бак. и хим. анализ воды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</si>
  <si>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</si>
  <si>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</si>
  <si>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</si>
  <si>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</si>
  <si>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</si>
  <si>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Технические осмотры</t>
  </si>
  <si>
    <t>отчет о проделанной работе  по МКД  № 6 ул.Лесная</t>
  </si>
  <si>
    <t>Администрация ООО "ТэксДом"</t>
  </si>
  <si>
    <t xml:space="preserve">                        ООО       "ТэксДом" </t>
  </si>
  <si>
    <t>Ремонт подъездов</t>
  </si>
  <si>
    <t>Сбрасывание снега с крыш и удаление сосулек (зимний период), покос травы (летний период)</t>
  </si>
  <si>
    <t>в жилом доме   №  6      по улице   Лесная</t>
  </si>
  <si>
    <t xml:space="preserve">Месяц </t>
  </si>
  <si>
    <t xml:space="preserve">ОПИСАНИЕ РАБОТЫ </t>
  </si>
  <si>
    <t>март</t>
  </si>
  <si>
    <t>апрель</t>
  </si>
  <si>
    <t>июнь</t>
  </si>
  <si>
    <t>ревизия эл.щитов</t>
  </si>
  <si>
    <t>август</t>
  </si>
  <si>
    <t>Сентябрь</t>
  </si>
  <si>
    <t>Январь</t>
  </si>
  <si>
    <t>Удаление наледи с кровли</t>
  </si>
  <si>
    <t>материалы</t>
  </si>
  <si>
    <t>з/пл. с отчисл.</t>
  </si>
  <si>
    <t>часы</t>
  </si>
  <si>
    <t>Материалы на ул.освещение</t>
  </si>
  <si>
    <t>май</t>
  </si>
  <si>
    <t>материалы на ремонт подъезда</t>
  </si>
  <si>
    <t>покос травы</t>
  </si>
  <si>
    <t>июль</t>
  </si>
  <si>
    <t>материалы на ремонт моп, ревизия эл.щитов</t>
  </si>
  <si>
    <t>Частичный ремонт цоколя дома</t>
  </si>
  <si>
    <t>Ремонт крыльца</t>
  </si>
  <si>
    <t>закрыли слуховое окно на чердаке</t>
  </si>
  <si>
    <t>октябрь</t>
  </si>
  <si>
    <t>ноябрь</t>
  </si>
  <si>
    <t>залили пол под лестницей в моп</t>
  </si>
  <si>
    <t xml:space="preserve">Затраты по предоставлению   услуг по содержанию </t>
  </si>
  <si>
    <t>ул.Лесная д.6</t>
  </si>
  <si>
    <t>Месяц</t>
  </si>
  <si>
    <t xml:space="preserve">Полезная площадь </t>
  </si>
  <si>
    <t xml:space="preserve">Начисление  на техническое  обслуживание  жилья </t>
  </si>
  <si>
    <t xml:space="preserve">Расходы </t>
  </si>
  <si>
    <t xml:space="preserve">                  ИТОГО </t>
  </si>
  <si>
    <t>Отклонение  ( доходы - расходы)</t>
  </si>
  <si>
    <t xml:space="preserve">Заработная плата  АУП с отчислениями </t>
  </si>
  <si>
    <t xml:space="preserve">Содержание админ. здания </t>
  </si>
  <si>
    <t>Прочие расходы(команд.,связь, прочие)</t>
  </si>
  <si>
    <t>Рентабельность</t>
  </si>
  <si>
    <t xml:space="preserve">Бак. и хим. анализ воды </t>
  </si>
  <si>
    <t xml:space="preserve">Техническая инвентаризация МКД </t>
  </si>
  <si>
    <t xml:space="preserve">ВывозТБО </t>
  </si>
  <si>
    <t xml:space="preserve">Проведение тех.осмотров </t>
  </si>
  <si>
    <t>Регулировка и наладка с-мы отопления</t>
  </si>
  <si>
    <t>ремонт подъездов</t>
  </si>
  <si>
    <t xml:space="preserve">замена  и восстановление  с-мы отопления </t>
  </si>
  <si>
    <t xml:space="preserve">замена  и восстановление  с-мы водопровода и канализации </t>
  </si>
  <si>
    <t xml:space="preserve">замена  и восстановление  эл.устройств </t>
  </si>
  <si>
    <t xml:space="preserve">Сбрасывание снега с крыш и удаление сосулек </t>
  </si>
  <si>
    <t>контейнерные площадки</t>
  </si>
  <si>
    <t xml:space="preserve">Противопожарные мероприятия </t>
  </si>
  <si>
    <t xml:space="preserve">Крыши </t>
  </si>
  <si>
    <t xml:space="preserve">прочистка венканалов и ремонт печей </t>
  </si>
  <si>
    <t>Полы</t>
  </si>
  <si>
    <t>Фундаменты , стены и перегородки</t>
  </si>
  <si>
    <t xml:space="preserve">Окна, двери </t>
  </si>
  <si>
    <t xml:space="preserve">Оплата за электроэнергию  МОП </t>
  </si>
  <si>
    <t xml:space="preserve">Земельный </t>
  </si>
  <si>
    <t>ЕСН , охрана окружающей среды</t>
  </si>
  <si>
    <t xml:space="preserve">Замеры сопротивления изоляции проводов </t>
  </si>
  <si>
    <t xml:space="preserve">Проверка наличии тяги  в венканалах </t>
  </si>
  <si>
    <t xml:space="preserve">Обработка огнезащитным составом </t>
  </si>
  <si>
    <t>крыльца,лавочки</t>
  </si>
  <si>
    <t>Февраль</t>
  </si>
  <si>
    <t>Март</t>
  </si>
  <si>
    <t>ИТОГО за квартал</t>
  </si>
  <si>
    <t>Апрель</t>
  </si>
  <si>
    <t>Май</t>
  </si>
  <si>
    <t>Июнь</t>
  </si>
  <si>
    <t>ИТОГО за полугодие</t>
  </si>
  <si>
    <t>Июль</t>
  </si>
  <si>
    <t>Август</t>
  </si>
  <si>
    <t>ИТОГО за 9 м-цев</t>
  </si>
  <si>
    <t>Октябрь</t>
  </si>
  <si>
    <t>Ноябрь</t>
  </si>
  <si>
    <t>Декабрь</t>
  </si>
  <si>
    <t>ИТОГО за год</t>
  </si>
  <si>
    <r>
      <t xml:space="preserve">жилищного фонда  ООО "ТэксДом" за   </t>
    </r>
    <r>
      <rPr>
        <b/>
        <sz val="10"/>
        <rFont val="Arial Cyr"/>
        <family val="0"/>
      </rPr>
      <t>2021</t>
    </r>
    <r>
      <rPr>
        <sz val="8"/>
        <rFont val="Arial Cyr"/>
        <family val="2"/>
      </rPr>
      <t xml:space="preserve"> год </t>
    </r>
  </si>
  <si>
    <t>з/пл.раб.</t>
  </si>
  <si>
    <t>з/пл.электр.</t>
  </si>
  <si>
    <t>Аварийно-диспетчерская служба (АДС)</t>
  </si>
  <si>
    <t>Сбрасывание снега с крыш и удаление сосулек (зимний период;  покос травы (летний период)</t>
  </si>
  <si>
    <t>крыльца, лавочки</t>
  </si>
  <si>
    <t>Общехозяйственные расходы</t>
  </si>
  <si>
    <t>Фасадные работы,                                          входная группа                                                  ( окна, двери, крыльца, скамейки, фундаменты, стены, полы в моп)</t>
  </si>
  <si>
    <t>Обработка подъездов</t>
  </si>
  <si>
    <t>Ремонт подъезда</t>
  </si>
  <si>
    <t xml:space="preserve">Краткое описание работ , производимые  рабочими ООО "ТэксДом"" за 2022 год </t>
  </si>
  <si>
    <t>за 2022 год.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</si>
  <si>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</si>
  <si>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</si>
  <si>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Задолженность за квартиросъемщиками за коммунальные услуги на 01.02.23 года.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</si>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</sst>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6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2"/>
    </font>
    <font>
      <sz val="8"/>
      <name val="Arial"/>
      <family val="0"/>
    </font>
    <font>
      <sz val="7"/>
      <name val="Arial Cyr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89" fontId="11" fillId="0" borderId="0" xfId="53" applyNumberFormat="1" applyFont="1" applyAlignment="1">
      <alignment horizontal="center"/>
      <protection/>
    </xf>
    <xf numFmtId="189" fontId="16" fillId="0" borderId="0" xfId="53" applyNumberFormat="1" applyFont="1" applyBorder="1">
      <alignment/>
      <protection/>
    </xf>
    <xf numFmtId="188" fontId="11" fillId="33" borderId="12" xfId="53" applyNumberFormat="1" applyFont="1" applyFill="1" applyBorder="1" applyAlignment="1">
      <alignment horizontal="center" textRotation="90" wrapText="1"/>
      <protection/>
    </xf>
    <xf numFmtId="188" fontId="11" fillId="33" borderId="11" xfId="53" applyNumberFormat="1" applyFont="1" applyFill="1" applyBorder="1" applyAlignment="1">
      <alignment horizontal="center" textRotation="90" wrapText="1"/>
      <protection/>
    </xf>
    <xf numFmtId="188" fontId="11" fillId="33" borderId="16" xfId="53" applyNumberFormat="1" applyFont="1" applyFill="1" applyBorder="1" applyAlignment="1">
      <alignment horizontal="center" textRotation="90" wrapText="1"/>
      <protection/>
    </xf>
    <xf numFmtId="188" fontId="16" fillId="0" borderId="10" xfId="53" applyNumberFormat="1" applyFont="1" applyBorder="1">
      <alignment/>
      <protection/>
    </xf>
    <xf numFmtId="189" fontId="16" fillId="0" borderId="10" xfId="53" applyNumberFormat="1" applyFont="1" applyBorder="1">
      <alignment/>
      <protection/>
    </xf>
    <xf numFmtId="190" fontId="17" fillId="0" borderId="10" xfId="53" applyNumberFormat="1" applyFont="1" applyBorder="1" applyAlignment="1">
      <alignment horizontal="center"/>
      <protection/>
    </xf>
    <xf numFmtId="188" fontId="18" fillId="0" borderId="10" xfId="53" applyNumberFormat="1" applyFont="1" applyBorder="1" applyAlignment="1">
      <alignment horizontal="center"/>
      <protection/>
    </xf>
    <xf numFmtId="188" fontId="18" fillId="0" borderId="10" xfId="53" applyNumberFormat="1" applyFont="1" applyFill="1" applyBorder="1" applyAlignment="1">
      <alignment horizontal="center"/>
      <protection/>
    </xf>
    <xf numFmtId="0" fontId="0" fillId="0" borderId="0" xfId="53">
      <alignment/>
      <protection/>
    </xf>
    <xf numFmtId="189" fontId="16" fillId="0" borderId="10" xfId="53" applyNumberFormat="1" applyFont="1" applyFill="1" applyBorder="1">
      <alignment/>
      <protection/>
    </xf>
    <xf numFmtId="190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88" fontId="18" fillId="0" borderId="10" xfId="0" applyNumberFormat="1" applyFont="1" applyFill="1" applyBorder="1" applyAlignment="1">
      <alignment horizontal="center"/>
    </xf>
    <xf numFmtId="188" fontId="18" fillId="0" borderId="10" xfId="0" applyNumberFormat="1" applyFont="1" applyBorder="1" applyAlignment="1">
      <alignment horizontal="center"/>
    </xf>
    <xf numFmtId="189" fontId="7" fillId="0" borderId="10" xfId="53" applyNumberFormat="1" applyFont="1" applyFill="1" applyBorder="1">
      <alignment/>
      <protection/>
    </xf>
    <xf numFmtId="188" fontId="7" fillId="0" borderId="10" xfId="53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188" fontId="15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88" fontId="1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91" fontId="16" fillId="0" borderId="10" xfId="0" applyNumberFormat="1" applyFont="1" applyBorder="1" applyAlignment="1">
      <alignment/>
    </xf>
    <xf numFmtId="189" fontId="16" fillId="0" borderId="10" xfId="0" applyNumberFormat="1" applyFont="1" applyBorder="1" applyAlignment="1">
      <alignment/>
    </xf>
    <xf numFmtId="191" fontId="16" fillId="0" borderId="10" xfId="0" applyNumberFormat="1" applyFont="1" applyBorder="1" applyAlignment="1">
      <alignment horizontal="left"/>
    </xf>
    <xf numFmtId="189" fontId="16" fillId="0" borderId="10" xfId="0" applyNumberFormat="1" applyFont="1" applyBorder="1" applyAlignment="1">
      <alignment horizontal="left"/>
    </xf>
    <xf numFmtId="191" fontId="19" fillId="0" borderId="10" xfId="0" applyNumberFormat="1" applyFont="1" applyBorder="1" applyAlignment="1">
      <alignment horizontal="center"/>
    </xf>
    <xf numFmtId="189" fontId="19" fillId="0" borderId="10" xfId="0" applyNumberFormat="1" applyFont="1" applyBorder="1" applyAlignment="1">
      <alignment/>
    </xf>
    <xf numFmtId="191" fontId="19" fillId="0" borderId="10" xfId="0" applyNumberFormat="1" applyFont="1" applyBorder="1" applyAlignment="1">
      <alignment/>
    </xf>
    <xf numFmtId="189" fontId="19" fillId="0" borderId="10" xfId="0" applyNumberFormat="1" applyFont="1" applyBorder="1" applyAlignment="1">
      <alignment/>
    </xf>
    <xf numFmtId="188" fontId="18" fillId="0" borderId="0" xfId="0" applyNumberFormat="1" applyFont="1" applyAlignment="1">
      <alignment horizontal="center"/>
    </xf>
    <xf numFmtId="189" fontId="16" fillId="0" borderId="10" xfId="53" applyNumberFormat="1" applyFont="1" applyBorder="1" applyAlignment="1">
      <alignment horizontal="center"/>
      <protection/>
    </xf>
    <xf numFmtId="189" fontId="7" fillId="0" borderId="10" xfId="53" applyNumberFormat="1" applyFont="1" applyFill="1" applyBorder="1" applyAlignment="1">
      <alignment horizontal="center"/>
      <protection/>
    </xf>
    <xf numFmtId="0" fontId="16" fillId="0" borderId="0" xfId="0" applyFont="1" applyAlignment="1">
      <alignment horizontal="center"/>
    </xf>
    <xf numFmtId="190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188" fontId="20" fillId="0" borderId="10" xfId="0" applyNumberFormat="1" applyFont="1" applyFill="1" applyBorder="1" applyAlignment="1">
      <alignment horizontal="center"/>
    </xf>
    <xf numFmtId="188" fontId="20" fillId="0" borderId="10" xfId="0" applyNumberFormat="1" applyFont="1" applyBorder="1" applyAlignment="1">
      <alignment horizontal="center"/>
    </xf>
    <xf numFmtId="188" fontId="21" fillId="0" borderId="10" xfId="53" applyNumberFormat="1" applyFont="1" applyBorder="1" applyAlignment="1">
      <alignment horizontal="center"/>
      <protection/>
    </xf>
    <xf numFmtId="188" fontId="0" fillId="0" borderId="10" xfId="0" applyNumberFormat="1" applyFont="1" applyBorder="1" applyAlignment="1">
      <alignment horizontal="center"/>
    </xf>
    <xf numFmtId="189" fontId="20" fillId="0" borderId="10" xfId="53" applyNumberFormat="1" applyFont="1" applyFill="1" applyBorder="1" applyAlignment="1">
      <alignment horizontal="center"/>
      <protection/>
    </xf>
    <xf numFmtId="189" fontId="20" fillId="0" borderId="10" xfId="53" applyNumberFormat="1" applyFont="1" applyBorder="1" applyAlignment="1">
      <alignment horizontal="center"/>
      <protection/>
    </xf>
    <xf numFmtId="189" fontId="16" fillId="0" borderId="37" xfId="0" applyNumberFormat="1" applyFont="1" applyBorder="1" applyAlignment="1">
      <alignment/>
    </xf>
    <xf numFmtId="191" fontId="16" fillId="0" borderId="37" xfId="0" applyNumberFormat="1" applyFont="1" applyBorder="1" applyAlignment="1">
      <alignment/>
    </xf>
    <xf numFmtId="191" fontId="16" fillId="0" borderId="37" xfId="0" applyNumberFormat="1" applyFont="1" applyBorder="1" applyAlignment="1">
      <alignment horizontal="left"/>
    </xf>
    <xf numFmtId="189" fontId="16" fillId="0" borderId="37" xfId="0" applyNumberFormat="1" applyFont="1" applyBorder="1" applyAlignment="1">
      <alignment horizontal="left"/>
    </xf>
    <xf numFmtId="191" fontId="19" fillId="0" borderId="37" xfId="0" applyNumberFormat="1" applyFont="1" applyBorder="1" applyAlignment="1">
      <alignment horizontal="center"/>
    </xf>
    <xf numFmtId="191" fontId="19" fillId="0" borderId="37" xfId="0" applyNumberFormat="1" applyFont="1" applyBorder="1" applyAlignment="1">
      <alignment/>
    </xf>
    <xf numFmtId="188" fontId="16" fillId="0" borderId="38" xfId="53" applyNumberFormat="1" applyFont="1" applyBorder="1" applyAlignment="1">
      <alignment horizontal="center"/>
      <protection/>
    </xf>
    <xf numFmtId="188" fontId="18" fillId="0" borderId="39" xfId="53" applyNumberFormat="1" applyFont="1" applyBorder="1" applyAlignment="1">
      <alignment horizontal="center"/>
      <protection/>
    </xf>
    <xf numFmtId="188" fontId="20" fillId="0" borderId="39" xfId="0" applyNumberFormat="1" applyFont="1" applyBorder="1" applyAlignment="1">
      <alignment horizontal="center"/>
    </xf>
    <xf numFmtId="188" fontId="21" fillId="0" borderId="39" xfId="53" applyNumberFormat="1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188" fontId="12" fillId="0" borderId="24" xfId="0" applyNumberFormat="1" applyFont="1" applyBorder="1" applyAlignment="1">
      <alignment horizontal="center"/>
    </xf>
    <xf numFmtId="188" fontId="21" fillId="0" borderId="34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88" fontId="0" fillId="0" borderId="0" xfId="0" applyNumberForma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88" fontId="11" fillId="33" borderId="12" xfId="53" applyNumberFormat="1" applyFont="1" applyFill="1" applyBorder="1" applyAlignment="1">
      <alignment horizontal="center" textRotation="90" wrapText="1"/>
      <protection/>
    </xf>
    <xf numFmtId="188" fontId="11" fillId="33" borderId="11" xfId="53" applyNumberFormat="1" applyFont="1" applyFill="1" applyBorder="1" applyAlignment="1">
      <alignment horizontal="center" textRotation="90" wrapText="1"/>
      <protection/>
    </xf>
    <xf numFmtId="188" fontId="11" fillId="33" borderId="16" xfId="53" applyNumberFormat="1" applyFont="1" applyFill="1" applyBorder="1" applyAlignment="1">
      <alignment horizontal="center" textRotation="90" wrapText="1"/>
      <protection/>
    </xf>
    <xf numFmtId="189" fontId="11" fillId="33" borderId="43" xfId="53" applyNumberFormat="1" applyFont="1" applyFill="1" applyBorder="1" applyAlignment="1">
      <alignment horizontal="center" textRotation="89" wrapText="1"/>
      <protection/>
    </xf>
    <xf numFmtId="189" fontId="11" fillId="33" borderId="30" xfId="53" applyNumberFormat="1" applyFont="1" applyFill="1" applyBorder="1" applyAlignment="1">
      <alignment horizontal="center" textRotation="89" wrapText="1"/>
      <protection/>
    </xf>
    <xf numFmtId="189" fontId="11" fillId="33" borderId="31" xfId="53" applyNumberFormat="1" applyFont="1" applyFill="1" applyBorder="1" applyAlignment="1">
      <alignment horizontal="center" textRotation="89" wrapText="1"/>
      <protection/>
    </xf>
    <xf numFmtId="188" fontId="11" fillId="33" borderId="10" xfId="53" applyNumberFormat="1" applyFont="1" applyFill="1" applyBorder="1" applyAlignment="1">
      <alignment horizontal="center" textRotation="89" wrapText="1"/>
      <protection/>
    </xf>
    <xf numFmtId="188" fontId="11" fillId="33" borderId="10" xfId="53" applyNumberFormat="1" applyFont="1" applyFill="1" applyBorder="1" applyAlignment="1">
      <alignment horizontal="center" textRotation="90" wrapText="1"/>
      <protection/>
    </xf>
    <xf numFmtId="188" fontId="16" fillId="33" borderId="12" xfId="53" applyNumberFormat="1" applyFont="1" applyFill="1" applyBorder="1" applyAlignment="1">
      <alignment horizontal="center" textRotation="90" wrapText="1"/>
      <protection/>
    </xf>
    <xf numFmtId="188" fontId="16" fillId="33" borderId="11" xfId="53" applyNumberFormat="1" applyFont="1" applyFill="1" applyBorder="1" applyAlignment="1">
      <alignment horizontal="center" textRotation="90" wrapText="1"/>
      <protection/>
    </xf>
    <xf numFmtId="188" fontId="16" fillId="33" borderId="16" xfId="53" applyNumberFormat="1" applyFont="1" applyFill="1" applyBorder="1" applyAlignment="1">
      <alignment horizontal="center" textRotation="90" wrapText="1"/>
      <protection/>
    </xf>
    <xf numFmtId="188" fontId="11" fillId="33" borderId="10" xfId="53" applyNumberFormat="1" applyFont="1" applyFill="1" applyBorder="1" applyAlignment="1">
      <alignment horizontal="center" wrapText="1"/>
      <protection/>
    </xf>
    <xf numFmtId="189" fontId="11" fillId="33" borderId="12" xfId="53" applyNumberFormat="1" applyFont="1" applyFill="1" applyBorder="1" applyAlignment="1">
      <alignment horizontal="center" textRotation="90" wrapText="1"/>
      <protection/>
    </xf>
    <xf numFmtId="189" fontId="11" fillId="33" borderId="11" xfId="53" applyNumberFormat="1" applyFont="1" applyFill="1" applyBorder="1" applyAlignment="1">
      <alignment horizontal="center" textRotation="90" wrapText="1"/>
      <protection/>
    </xf>
    <xf numFmtId="189" fontId="11" fillId="33" borderId="16" xfId="53" applyNumberFormat="1" applyFont="1" applyFill="1" applyBorder="1" applyAlignment="1">
      <alignment horizontal="center" textRotation="90" wrapText="1"/>
      <protection/>
    </xf>
    <xf numFmtId="189" fontId="11" fillId="33" borderId="12" xfId="53" applyNumberFormat="1" applyFont="1" applyFill="1" applyBorder="1" applyAlignment="1">
      <alignment horizontal="center" textRotation="90" wrapText="1"/>
      <protection/>
    </xf>
    <xf numFmtId="189" fontId="11" fillId="33" borderId="11" xfId="53" applyNumberFormat="1" applyFont="1" applyFill="1" applyBorder="1" applyAlignment="1">
      <alignment horizontal="center" textRotation="90" wrapText="1"/>
      <protection/>
    </xf>
    <xf numFmtId="188" fontId="11" fillId="33" borderId="12" xfId="53" applyNumberFormat="1" applyFont="1" applyFill="1" applyBorder="1" applyAlignment="1">
      <alignment horizontal="center" textRotation="89" wrapText="1"/>
      <protection/>
    </xf>
    <xf numFmtId="189" fontId="15" fillId="33" borderId="10" xfId="53" applyNumberFormat="1" applyFont="1" applyFill="1" applyBorder="1" applyAlignment="1">
      <alignment horizontal="center" wrapText="1"/>
      <protection/>
    </xf>
    <xf numFmtId="189" fontId="11" fillId="0" borderId="0" xfId="53" applyNumberFormat="1" applyFont="1" applyAlignment="1">
      <alignment horizontal="center"/>
      <protection/>
    </xf>
    <xf numFmtId="189" fontId="13" fillId="0" borderId="44" xfId="53" applyNumberFormat="1" applyFont="1" applyBorder="1" applyAlignment="1">
      <alignment horizontal="center"/>
      <protection/>
    </xf>
    <xf numFmtId="189" fontId="14" fillId="0" borderId="44" xfId="53" applyNumberFormat="1" applyFont="1" applyBorder="1" applyAlignment="1">
      <alignment horizontal="center"/>
      <protection/>
    </xf>
    <xf numFmtId="189" fontId="15" fillId="0" borderId="45" xfId="53" applyNumberFormat="1" applyFont="1" applyBorder="1" applyAlignment="1">
      <alignment horizontal="center" wrapText="1"/>
      <protection/>
    </xf>
    <xf numFmtId="189" fontId="15" fillId="0" borderId="38" xfId="53" applyNumberFormat="1" applyFont="1" applyBorder="1" applyAlignment="1">
      <alignment horizontal="center" wrapText="1"/>
      <protection/>
    </xf>
    <xf numFmtId="189" fontId="15" fillId="0" borderId="46" xfId="53" applyNumberFormat="1" applyFont="1" applyBorder="1" applyAlignment="1">
      <alignment horizontal="center" wrapText="1"/>
      <protection/>
    </xf>
    <xf numFmtId="189" fontId="7" fillId="0" borderId="22" xfId="53" applyNumberFormat="1" applyFont="1" applyBorder="1" applyAlignment="1">
      <alignment horizontal="center" wrapText="1"/>
      <protection/>
    </xf>
    <xf numFmtId="189" fontId="7" fillId="0" borderId="10" xfId="53" applyNumberFormat="1" applyFont="1" applyBorder="1" applyAlignment="1">
      <alignment horizontal="center" wrapText="1"/>
      <protection/>
    </xf>
    <xf numFmtId="189" fontId="7" fillId="0" borderId="12" xfId="53" applyNumberFormat="1" applyFont="1" applyBorder="1" applyAlignment="1">
      <alignment horizontal="center" wrapText="1"/>
      <protection/>
    </xf>
    <xf numFmtId="189" fontId="11" fillId="0" borderId="28" xfId="53" applyNumberFormat="1" applyFont="1" applyBorder="1" applyAlignment="1">
      <alignment horizontal="center" vertical="center" textRotation="90" wrapText="1"/>
      <protection/>
    </xf>
    <xf numFmtId="189" fontId="11" fillId="0" borderId="11" xfId="53" applyNumberFormat="1" applyFont="1" applyBorder="1" applyAlignment="1">
      <alignment horizontal="center" vertical="center" textRotation="90" wrapText="1"/>
      <protection/>
    </xf>
    <xf numFmtId="189" fontId="11" fillId="34" borderId="28" xfId="53" applyNumberFormat="1" applyFont="1" applyFill="1" applyBorder="1" applyAlignment="1">
      <alignment horizontal="center" textRotation="90" wrapText="1"/>
      <protection/>
    </xf>
    <xf numFmtId="189" fontId="11" fillId="34" borderId="11" xfId="53" applyNumberFormat="1" applyFont="1" applyFill="1" applyBorder="1" applyAlignment="1">
      <alignment horizontal="center" textRotation="90" wrapText="1"/>
      <protection/>
    </xf>
    <xf numFmtId="189" fontId="11" fillId="34" borderId="16" xfId="53" applyNumberFormat="1" applyFont="1" applyFill="1" applyBorder="1" applyAlignment="1">
      <alignment horizontal="center" textRotation="90" wrapText="1"/>
      <protection/>
    </xf>
    <xf numFmtId="189" fontId="15" fillId="33" borderId="47" xfId="53" applyNumberFormat="1" applyFont="1" applyFill="1" applyBorder="1" applyAlignment="1">
      <alignment horizontal="center" wrapText="1"/>
      <protection/>
    </xf>
    <xf numFmtId="189" fontId="15" fillId="33" borderId="48" xfId="53" applyNumberFormat="1" applyFont="1" applyFill="1" applyBorder="1" applyAlignment="1">
      <alignment horizontal="center" wrapText="1"/>
      <protection/>
    </xf>
    <xf numFmtId="189" fontId="15" fillId="0" borderId="22" xfId="53" applyNumberFormat="1" applyFont="1" applyBorder="1" applyAlignment="1">
      <alignment horizontal="center" textRotation="90" wrapText="1"/>
      <protection/>
    </xf>
    <xf numFmtId="189" fontId="15" fillId="0" borderId="10" xfId="53" applyNumberFormat="1" applyFont="1" applyBorder="1" applyAlignment="1">
      <alignment horizontal="center" textRotation="90" wrapText="1"/>
      <protection/>
    </xf>
    <xf numFmtId="189" fontId="15" fillId="0" borderId="12" xfId="53" applyNumberFormat="1" applyFont="1" applyBorder="1" applyAlignment="1">
      <alignment horizontal="center" textRotation="90" wrapText="1"/>
      <protection/>
    </xf>
    <xf numFmtId="189" fontId="15" fillId="0" borderId="33" xfId="53" applyNumberFormat="1" applyFont="1" applyBorder="1" applyAlignment="1">
      <alignment horizontal="center" textRotation="90" wrapText="1"/>
      <protection/>
    </xf>
    <xf numFmtId="189" fontId="15" fillId="0" borderId="39" xfId="53" applyNumberFormat="1" applyFont="1" applyBorder="1" applyAlignment="1">
      <alignment horizontal="center" textRotation="90" wrapText="1"/>
      <protection/>
    </xf>
    <xf numFmtId="189" fontId="15" fillId="0" borderId="41" xfId="53" applyNumberFormat="1" applyFont="1" applyBorder="1" applyAlignment="1">
      <alignment horizontal="center" textRotation="90" wrapText="1"/>
      <protection/>
    </xf>
    <xf numFmtId="189" fontId="21" fillId="0" borderId="49" xfId="53" applyNumberFormat="1" applyFont="1" applyFill="1" applyBorder="1" applyAlignment="1">
      <alignment horizontal="center"/>
      <protection/>
    </xf>
    <xf numFmtId="189" fontId="21" fillId="0" borderId="50" xfId="53" applyNumberFormat="1" applyFont="1" applyFill="1" applyBorder="1" applyAlignment="1">
      <alignment horizontal="center"/>
      <protection/>
    </xf>
    <xf numFmtId="189" fontId="21" fillId="0" borderId="17" xfId="53" applyNumberFormat="1" applyFont="1" applyFill="1" applyBorder="1" applyAlignment="1">
      <alignment horizontal="center"/>
      <protection/>
    </xf>
    <xf numFmtId="188" fontId="11" fillId="33" borderId="43" xfId="53" applyNumberFormat="1" applyFont="1" applyFill="1" applyBorder="1" applyAlignment="1">
      <alignment horizontal="center" wrapText="1"/>
      <protection/>
    </xf>
    <xf numFmtId="188" fontId="11" fillId="33" borderId="51" xfId="53" applyNumberFormat="1" applyFont="1" applyFill="1" applyBorder="1" applyAlignment="1">
      <alignment horizontal="center" wrapText="1"/>
      <protection/>
    </xf>
    <xf numFmtId="188" fontId="11" fillId="33" borderId="52" xfId="53" applyNumberFormat="1" applyFont="1" applyFill="1" applyBorder="1" applyAlignment="1">
      <alignment horizontal="center" wrapText="1"/>
      <protection/>
    </xf>
    <xf numFmtId="188" fontId="11" fillId="33" borderId="30" xfId="53" applyNumberFormat="1" applyFont="1" applyFill="1" applyBorder="1" applyAlignment="1">
      <alignment horizontal="center" wrapText="1"/>
      <protection/>
    </xf>
    <xf numFmtId="188" fontId="11" fillId="33" borderId="0" xfId="53" applyNumberFormat="1" applyFont="1" applyFill="1" applyBorder="1" applyAlignment="1">
      <alignment horizontal="center" wrapText="1"/>
      <protection/>
    </xf>
    <xf numFmtId="188" fontId="11" fillId="33" borderId="27" xfId="53" applyNumberFormat="1" applyFont="1" applyFill="1" applyBorder="1" applyAlignment="1">
      <alignment horizontal="center" wrapText="1"/>
      <protection/>
    </xf>
    <xf numFmtId="188" fontId="11" fillId="33" borderId="31" xfId="53" applyNumberFormat="1" applyFont="1" applyFill="1" applyBorder="1" applyAlignment="1">
      <alignment horizontal="center" wrapText="1"/>
      <protection/>
    </xf>
    <xf numFmtId="188" fontId="11" fillId="33" borderId="53" xfId="53" applyNumberFormat="1" applyFont="1" applyFill="1" applyBorder="1" applyAlignment="1">
      <alignment horizontal="center" wrapText="1"/>
      <protection/>
    </xf>
    <xf numFmtId="188" fontId="11" fillId="33" borderId="54" xfId="53" applyNumberFormat="1" applyFont="1" applyFill="1" applyBorder="1" applyAlignment="1">
      <alignment horizontal="center" wrapText="1"/>
      <protection/>
    </xf>
    <xf numFmtId="189" fontId="11" fillId="33" borderId="11" xfId="53" applyNumberFormat="1" applyFont="1" applyFill="1" applyBorder="1" applyAlignment="1">
      <alignment horizontal="center" textRotation="89" wrapText="1"/>
      <protection/>
    </xf>
    <xf numFmtId="189" fontId="11" fillId="33" borderId="16" xfId="53" applyNumberFormat="1" applyFont="1" applyFill="1" applyBorder="1" applyAlignment="1">
      <alignment horizontal="center" textRotation="89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6">
      <selection activeCell="C6" sqref="C6"/>
    </sheetView>
  </sheetViews>
  <sheetFormatPr defaultColWidth="9.140625" defaultRowHeight="12.75"/>
  <cols>
    <col min="1" max="1" width="2.57421875" style="0" customWidth="1"/>
    <col min="2" max="2" width="70.140625" style="0" customWidth="1"/>
    <col min="3" max="3" width="12.421875" style="0" customWidth="1"/>
  </cols>
  <sheetData>
    <row r="1" ht="17.25">
      <c r="B1" s="5" t="s">
        <v>16</v>
      </c>
    </row>
    <row r="2" spans="2:3" ht="18">
      <c r="B2" s="13" t="s">
        <v>14</v>
      </c>
      <c r="C2" s="13"/>
    </row>
    <row r="3" spans="2:3" ht="18">
      <c r="B3" s="14" t="s">
        <v>106</v>
      </c>
      <c r="C3" s="13"/>
    </row>
    <row r="4" spans="1:3" ht="30" customHeight="1">
      <c r="A4" s="19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6">
        <v>81737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0</v>
      </c>
    </row>
    <row r="8" spans="1:3" ht="19.5">
      <c r="A8" s="1"/>
      <c r="B8" s="6" t="s">
        <v>4</v>
      </c>
      <c r="C8" s="7">
        <f>3257-996</f>
        <v>2261</v>
      </c>
    </row>
    <row r="9" spans="1:3" ht="39.75">
      <c r="A9" s="1"/>
      <c r="B9" s="10" t="s">
        <v>18</v>
      </c>
      <c r="C9" s="7">
        <v>0</v>
      </c>
    </row>
    <row r="10" spans="1:3" ht="19.5">
      <c r="A10" s="1"/>
      <c r="B10" s="6" t="s">
        <v>5</v>
      </c>
      <c r="C10" s="7">
        <v>0</v>
      </c>
    </row>
    <row r="11" spans="1:3" ht="19.5">
      <c r="A11" s="1"/>
      <c r="B11" s="6" t="s">
        <v>6</v>
      </c>
      <c r="C11" s="7">
        <v>560</v>
      </c>
    </row>
    <row r="12" spans="1:3" ht="19.5">
      <c r="A12" s="1"/>
      <c r="B12" s="8" t="s">
        <v>11</v>
      </c>
      <c r="C12" s="9">
        <v>0</v>
      </c>
    </row>
    <row r="13" spans="1:3" ht="19.5">
      <c r="A13" s="1"/>
      <c r="B13" s="6" t="s">
        <v>17</v>
      </c>
      <c r="C13" s="7">
        <v>0</v>
      </c>
    </row>
    <row r="14" spans="1:3" ht="62.25" customHeight="1">
      <c r="A14" s="1"/>
      <c r="B14" s="10" t="s">
        <v>107</v>
      </c>
      <c r="C14" s="7">
        <v>219</v>
      </c>
    </row>
    <row r="15" spans="1:3" ht="19.5">
      <c r="A15" s="1"/>
      <c r="B15" s="6" t="s">
        <v>12</v>
      </c>
      <c r="C15" s="15">
        <f>0.5*390.9*12</f>
        <v>2345.3999999999996</v>
      </c>
    </row>
    <row r="16" spans="1:3" ht="19.5">
      <c r="A16" s="1"/>
      <c r="B16" s="6" t="s">
        <v>13</v>
      </c>
      <c r="C16" s="15">
        <f>0.47*390.9*12</f>
        <v>2204.676</v>
      </c>
    </row>
    <row r="17" spans="1:3" ht="19.5">
      <c r="A17" s="1"/>
      <c r="B17" s="6" t="s">
        <v>7</v>
      </c>
      <c r="C17" s="7">
        <v>261</v>
      </c>
    </row>
    <row r="18" spans="1:3" ht="78" customHeight="1">
      <c r="A18" s="1"/>
      <c r="B18" s="10" t="s">
        <v>108</v>
      </c>
      <c r="C18" s="7">
        <f>23789+2150+5614+2911+3146</f>
        <v>37610</v>
      </c>
    </row>
    <row r="19" spans="1:3" ht="19.5">
      <c r="A19" s="1">
        <v>3</v>
      </c>
      <c r="B19" s="11" t="s">
        <v>9</v>
      </c>
      <c r="C19" s="18">
        <f>SUM(C7:C18)</f>
        <v>45461.076</v>
      </c>
    </row>
    <row r="20" spans="1:3" ht="39.75">
      <c r="A20" s="1">
        <v>4</v>
      </c>
      <c r="B20" s="12" t="s">
        <v>110</v>
      </c>
      <c r="C20" s="17">
        <f>C5-C19</f>
        <v>36275.924</v>
      </c>
    </row>
    <row r="21" spans="1:3" ht="38.25" customHeight="1">
      <c r="A21" s="1"/>
      <c r="B21" s="10" t="s">
        <v>109</v>
      </c>
      <c r="C21" s="7">
        <f>5578.86+22718.25</f>
        <v>28297.11</v>
      </c>
    </row>
    <row r="23" ht="17.25">
      <c r="B23" s="5" t="s">
        <v>15</v>
      </c>
    </row>
  </sheetData>
  <sheetProtection/>
  <printOptions/>
  <pageMargins left="0.75" right="0.5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5.140625" style="21" customWidth="1"/>
    <col min="2" max="2" width="43.8515625" style="21" customWidth="1"/>
    <col min="3" max="3" width="9.28125" style="20" customWidth="1"/>
    <col min="4" max="4" width="10.28125" style="20" customWidth="1"/>
    <col min="5" max="5" width="8.140625" style="20" customWidth="1"/>
    <col min="6" max="16384" width="9.140625" style="21" customWidth="1"/>
  </cols>
  <sheetData>
    <row r="1" spans="1:5" ht="15">
      <c r="A1" s="126" t="s">
        <v>105</v>
      </c>
      <c r="B1" s="126"/>
      <c r="C1" s="126"/>
      <c r="D1" s="126"/>
      <c r="E1" s="126"/>
    </row>
    <row r="2" spans="1:2" ht="3.75" customHeight="1">
      <c r="A2" s="20"/>
      <c r="B2" s="20"/>
    </row>
    <row r="3" spans="1:5" ht="13.5" customHeight="1">
      <c r="A3" s="127" t="s">
        <v>19</v>
      </c>
      <c r="B3" s="127"/>
      <c r="C3" s="127"/>
      <c r="D3" s="127"/>
      <c r="E3" s="127"/>
    </row>
    <row r="4" ht="14.25" thickBot="1"/>
    <row r="5" spans="1:5" s="22" customFormat="1" ht="14.25" thickBot="1">
      <c r="A5" s="39" t="s">
        <v>20</v>
      </c>
      <c r="B5" s="40" t="s">
        <v>21</v>
      </c>
      <c r="C5" s="41" t="s">
        <v>30</v>
      </c>
      <c r="D5" s="41" t="s">
        <v>31</v>
      </c>
      <c r="E5" s="114" t="s">
        <v>32</v>
      </c>
    </row>
    <row r="6" spans="1:5" ht="13.5">
      <c r="A6" s="122" t="s">
        <v>28</v>
      </c>
      <c r="B6" s="34" t="s">
        <v>29</v>
      </c>
      <c r="C6" s="28"/>
      <c r="D6" s="28">
        <v>460</v>
      </c>
      <c r="E6" s="115">
        <v>2</v>
      </c>
    </row>
    <row r="7" spans="1:5" ht="14.25" thickBot="1">
      <c r="A7" s="123"/>
      <c r="B7" s="33" t="s">
        <v>33</v>
      </c>
      <c r="C7" s="23">
        <v>1550</v>
      </c>
      <c r="D7" s="23"/>
      <c r="E7" s="116"/>
    </row>
    <row r="8" spans="1:5" ht="14.25" thickBot="1">
      <c r="A8" s="26" t="s">
        <v>22</v>
      </c>
      <c r="B8" s="27" t="s">
        <v>25</v>
      </c>
      <c r="C8" s="30"/>
      <c r="D8" s="30">
        <f>236.81*2</f>
        <v>473.62</v>
      </c>
      <c r="E8" s="52">
        <v>2</v>
      </c>
    </row>
    <row r="9" spans="1:5" ht="14.25" thickBot="1">
      <c r="A9" s="42" t="s">
        <v>23</v>
      </c>
      <c r="B9" s="43" t="s">
        <v>25</v>
      </c>
      <c r="C9" s="24"/>
      <c r="D9" s="24">
        <v>284.18</v>
      </c>
      <c r="E9" s="117">
        <v>1</v>
      </c>
    </row>
    <row r="10" spans="1:5" ht="14.25" thickBot="1">
      <c r="A10" s="26" t="s">
        <v>34</v>
      </c>
      <c r="B10" s="27" t="s">
        <v>35</v>
      </c>
      <c r="C10" s="30">
        <v>5168.8</v>
      </c>
      <c r="D10" s="30"/>
      <c r="E10" s="52"/>
    </row>
    <row r="11" spans="1:5" ht="14.25" thickBot="1">
      <c r="A11" s="122" t="s">
        <v>24</v>
      </c>
      <c r="B11" s="27" t="s">
        <v>35</v>
      </c>
      <c r="C11" s="36">
        <v>6511</v>
      </c>
      <c r="D11" s="36"/>
      <c r="E11" s="53"/>
    </row>
    <row r="12" spans="1:5" ht="14.25" thickBot="1">
      <c r="A12" s="123"/>
      <c r="B12" s="29" t="s">
        <v>36</v>
      </c>
      <c r="C12" s="38"/>
      <c r="D12" s="38">
        <v>1670</v>
      </c>
      <c r="E12" s="54">
        <v>8</v>
      </c>
    </row>
    <row r="13" spans="1:5" ht="14.25" thickBot="1">
      <c r="A13" s="31" t="s">
        <v>37</v>
      </c>
      <c r="B13" s="32" t="s">
        <v>38</v>
      </c>
      <c r="C13" s="44">
        <v>2389</v>
      </c>
      <c r="D13" s="44">
        <v>204.81</v>
      </c>
      <c r="E13" s="55">
        <v>1</v>
      </c>
    </row>
    <row r="14" spans="1:5" ht="13.5">
      <c r="A14" s="122" t="s">
        <v>26</v>
      </c>
      <c r="B14" s="45" t="s">
        <v>40</v>
      </c>
      <c r="C14" s="36">
        <v>540</v>
      </c>
      <c r="D14" s="36">
        <v>4341</v>
      </c>
      <c r="E14" s="53">
        <v>20</v>
      </c>
    </row>
    <row r="15" spans="1:5" ht="13.5">
      <c r="A15" s="124"/>
      <c r="B15" s="119" t="s">
        <v>39</v>
      </c>
      <c r="C15" s="120">
        <v>90</v>
      </c>
      <c r="D15" s="120">
        <v>3923</v>
      </c>
      <c r="E15" s="121">
        <v>20</v>
      </c>
    </row>
    <row r="16" spans="1:5" ht="15" customHeight="1" thickBot="1">
      <c r="A16" s="123"/>
      <c r="B16" s="35" t="s">
        <v>104</v>
      </c>
      <c r="C16" s="25"/>
      <c r="D16" s="25">
        <v>43898</v>
      </c>
      <c r="E16" s="56"/>
    </row>
    <row r="17" spans="1:5" ht="13.5">
      <c r="A17" s="122" t="s">
        <v>27</v>
      </c>
      <c r="B17" s="45" t="s">
        <v>25</v>
      </c>
      <c r="C17" s="36"/>
      <c r="D17" s="36">
        <v>234.37</v>
      </c>
      <c r="E17" s="53">
        <v>1</v>
      </c>
    </row>
    <row r="18" spans="1:5" ht="14.25" thickBot="1">
      <c r="A18" s="123"/>
      <c r="B18" s="29" t="s">
        <v>41</v>
      </c>
      <c r="C18" s="38"/>
      <c r="D18" s="38">
        <v>216</v>
      </c>
      <c r="E18" s="54">
        <v>1</v>
      </c>
    </row>
    <row r="19" spans="1:5" ht="14.25" thickBot="1">
      <c r="A19" s="37" t="s">
        <v>42</v>
      </c>
      <c r="B19" s="35" t="s">
        <v>44</v>
      </c>
      <c r="C19" s="25">
        <f>862.8</f>
        <v>862.8</v>
      </c>
      <c r="D19" s="25">
        <v>3234</v>
      </c>
      <c r="E19" s="56">
        <v>10</v>
      </c>
    </row>
    <row r="20" spans="1:5" ht="14.25" thickBot="1">
      <c r="A20" s="50" t="s">
        <v>43</v>
      </c>
      <c r="B20" s="51" t="s">
        <v>25</v>
      </c>
      <c r="C20" s="30"/>
      <c r="D20" s="30">
        <f>258.34*2</f>
        <v>516.68</v>
      </c>
      <c r="E20" s="52"/>
    </row>
    <row r="21" spans="1:5" ht="13.5">
      <c r="A21" s="46"/>
      <c r="B21" s="49"/>
      <c r="C21" s="46"/>
      <c r="D21" s="46"/>
      <c r="E21" s="46"/>
    </row>
    <row r="22" spans="1:5" ht="13.5">
      <c r="A22" s="125"/>
      <c r="B22" s="125"/>
      <c r="C22" s="125"/>
      <c r="D22" s="125"/>
      <c r="E22" s="125"/>
    </row>
    <row r="23" spans="1:5" ht="13.5">
      <c r="A23" s="47"/>
      <c r="B23" s="49"/>
      <c r="C23" s="46"/>
      <c r="D23" s="46"/>
      <c r="E23" s="46"/>
    </row>
    <row r="24" spans="1:5" ht="13.5">
      <c r="A24" s="47"/>
      <c r="B24" s="49"/>
      <c r="C24" s="46"/>
      <c r="D24" s="46"/>
      <c r="E24" s="46"/>
    </row>
    <row r="25" spans="1:5" ht="13.5">
      <c r="A25" s="47"/>
      <c r="B25" s="49"/>
      <c r="C25" s="46"/>
      <c r="D25" s="46"/>
      <c r="E25" s="46"/>
    </row>
    <row r="26" spans="1:5" ht="13.5">
      <c r="A26" s="47"/>
      <c r="B26" s="49"/>
      <c r="C26" s="46"/>
      <c r="D26" s="46"/>
      <c r="E26" s="46"/>
    </row>
    <row r="27" spans="1:5" ht="13.5">
      <c r="A27" s="47"/>
      <c r="B27" s="49"/>
      <c r="C27" s="46"/>
      <c r="D27" s="46"/>
      <c r="E27" s="46"/>
    </row>
    <row r="28" spans="1:5" ht="13.5">
      <c r="A28" s="47"/>
      <c r="B28" s="49"/>
      <c r="C28" s="46"/>
      <c r="D28" s="46"/>
      <c r="E28" s="46"/>
    </row>
    <row r="29" spans="1:5" ht="13.5">
      <c r="A29" s="47"/>
      <c r="B29" s="49"/>
      <c r="C29" s="46"/>
      <c r="D29" s="46"/>
      <c r="E29" s="46"/>
    </row>
    <row r="30" spans="1:5" ht="13.5">
      <c r="A30" s="47"/>
      <c r="B30" s="49"/>
      <c r="C30" s="46"/>
      <c r="D30" s="46"/>
      <c r="E30" s="46"/>
    </row>
    <row r="31" spans="1:5" ht="13.5">
      <c r="A31" s="47"/>
      <c r="B31" s="49"/>
      <c r="C31" s="46"/>
      <c r="D31" s="46"/>
      <c r="E31" s="46"/>
    </row>
    <row r="32" spans="1:5" ht="13.5">
      <c r="A32" s="47"/>
      <c r="B32" s="49"/>
      <c r="C32" s="46"/>
      <c r="D32" s="46"/>
      <c r="E32" s="46"/>
    </row>
    <row r="33" spans="1:5" ht="13.5">
      <c r="A33" s="47"/>
      <c r="B33" s="49"/>
      <c r="C33" s="46"/>
      <c r="D33" s="46"/>
      <c r="E33" s="46"/>
    </row>
    <row r="34" spans="1:5" ht="13.5">
      <c r="A34" s="47"/>
      <c r="B34" s="49"/>
      <c r="C34" s="46"/>
      <c r="D34" s="46"/>
      <c r="E34" s="46"/>
    </row>
    <row r="35" spans="1:5" ht="13.5">
      <c r="A35" s="47"/>
      <c r="B35" s="49"/>
      <c r="C35" s="46"/>
      <c r="D35" s="46"/>
      <c r="E35" s="46"/>
    </row>
    <row r="36" spans="1:5" ht="13.5">
      <c r="A36" s="47"/>
      <c r="B36" s="49"/>
      <c r="C36" s="46"/>
      <c r="D36" s="46"/>
      <c r="E36" s="46"/>
    </row>
    <row r="37" spans="1:5" ht="13.5">
      <c r="A37" s="47"/>
      <c r="B37" s="49"/>
      <c r="C37" s="46"/>
      <c r="D37" s="46"/>
      <c r="E37" s="46"/>
    </row>
    <row r="38" spans="1:5" ht="13.5">
      <c r="A38" s="47"/>
      <c r="B38" s="49"/>
      <c r="C38" s="46"/>
      <c r="D38" s="46"/>
      <c r="E38" s="46"/>
    </row>
    <row r="39" spans="1:5" ht="13.5">
      <c r="A39" s="47"/>
      <c r="B39" s="49"/>
      <c r="C39" s="46"/>
      <c r="D39" s="46"/>
      <c r="E39" s="46"/>
    </row>
    <row r="40" spans="1:5" ht="13.5">
      <c r="A40" s="47"/>
      <c r="B40" s="49"/>
      <c r="C40" s="46"/>
      <c r="D40" s="46"/>
      <c r="E40" s="46"/>
    </row>
    <row r="41" spans="1:5" ht="13.5">
      <c r="A41" s="47"/>
      <c r="B41" s="49"/>
      <c r="C41" s="46"/>
      <c r="D41" s="46"/>
      <c r="E41" s="46"/>
    </row>
    <row r="42" spans="1:5" ht="13.5">
      <c r="A42" s="47"/>
      <c r="B42" s="49"/>
      <c r="C42" s="46"/>
      <c r="D42" s="46"/>
      <c r="E42" s="46"/>
    </row>
    <row r="43" spans="1:5" ht="13.5">
      <c r="A43" s="47"/>
      <c r="B43" s="49"/>
      <c r="C43" s="46"/>
      <c r="D43" s="46"/>
      <c r="E43" s="46"/>
    </row>
    <row r="44" spans="1:5" ht="13.5">
      <c r="A44" s="47"/>
      <c r="B44" s="49"/>
      <c r="C44" s="46"/>
      <c r="D44" s="46"/>
      <c r="E44" s="46"/>
    </row>
    <row r="45" spans="1:5" ht="13.5">
      <c r="A45" s="47"/>
      <c r="B45" s="49"/>
      <c r="C45" s="46"/>
      <c r="D45" s="46"/>
      <c r="E45" s="46"/>
    </row>
    <row r="46" spans="1:5" ht="13.5">
      <c r="A46" s="47"/>
      <c r="B46" s="49"/>
      <c r="C46" s="46"/>
      <c r="D46" s="46"/>
      <c r="E46" s="46"/>
    </row>
    <row r="47" spans="1:5" ht="13.5">
      <c r="A47" s="47"/>
      <c r="B47" s="49"/>
      <c r="C47" s="46"/>
      <c r="D47" s="46"/>
      <c r="E47" s="46"/>
    </row>
    <row r="48" spans="1:5" ht="13.5">
      <c r="A48" s="47"/>
      <c r="B48" s="49"/>
      <c r="C48" s="46"/>
      <c r="D48" s="46"/>
      <c r="E48" s="46"/>
    </row>
    <row r="49" spans="1:5" ht="13.5">
      <c r="A49" s="48"/>
      <c r="B49" s="49"/>
      <c r="C49" s="46"/>
      <c r="D49" s="46"/>
      <c r="E49" s="46"/>
    </row>
    <row r="50" spans="2:5" ht="13.5">
      <c r="B50" s="49"/>
      <c r="C50" s="46"/>
      <c r="D50" s="46"/>
      <c r="E50" s="46"/>
    </row>
    <row r="51" spans="2:5" ht="13.5">
      <c r="B51" s="49"/>
      <c r="C51" s="46"/>
      <c r="D51" s="46"/>
      <c r="E51" s="46"/>
    </row>
  </sheetData>
  <sheetProtection/>
  <mergeCells count="7">
    <mergeCell ref="A6:A7"/>
    <mergeCell ref="A11:A12"/>
    <mergeCell ref="A14:A16"/>
    <mergeCell ref="A17:A18"/>
    <mergeCell ref="A22:E22"/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34"/>
  <sheetViews>
    <sheetView zoomScalePageLayoutView="0" workbookViewId="0" topLeftCell="C13">
      <selection activeCell="C4" sqref="A1:IV16384"/>
    </sheetView>
  </sheetViews>
  <sheetFormatPr defaultColWidth="9.140625" defaultRowHeight="12.75"/>
  <cols>
    <col min="1" max="1" width="3.57421875" style="0" customWidth="1"/>
    <col min="2" max="2" width="3.421875" style="0" customWidth="1"/>
    <col min="3" max="3" width="11.57421875" style="78" customWidth="1"/>
    <col min="4" max="4" width="5.140625" style="0" customWidth="1"/>
    <col min="5" max="5" width="6.28125" style="0" customWidth="1"/>
    <col min="6" max="6" width="5.421875" style="0" customWidth="1"/>
    <col min="7" max="7" width="5.00390625" style="0" customWidth="1"/>
    <col min="8" max="8" width="5.421875" style="0" customWidth="1"/>
    <col min="9" max="9" width="2.28125" style="0" customWidth="1"/>
    <col min="10" max="10" width="5.00390625" style="0" customWidth="1"/>
    <col min="11" max="11" width="4.8515625" style="0" customWidth="1"/>
    <col min="12" max="12" width="3.8515625" style="0" customWidth="1"/>
    <col min="13" max="13" width="2.421875" style="0" customWidth="1"/>
    <col min="14" max="14" width="5.8515625" style="0" customWidth="1"/>
    <col min="15" max="15" width="4.8515625" style="0" customWidth="1"/>
    <col min="16" max="16" width="2.8515625" style="0" customWidth="1"/>
    <col min="17" max="17" width="5.8515625" style="0" customWidth="1"/>
    <col min="18" max="18" width="2.421875" style="0" customWidth="1"/>
    <col min="19" max="19" width="5.57421875" style="0" customWidth="1"/>
    <col min="20" max="20" width="4.7109375" style="0" customWidth="1"/>
    <col min="21" max="21" width="4.421875" style="0" customWidth="1"/>
    <col min="22" max="22" width="3.140625" style="0" customWidth="1"/>
    <col min="23" max="23" width="2.140625" style="0" customWidth="1"/>
    <col min="24" max="24" width="4.8515625" style="0" customWidth="1"/>
    <col min="25" max="25" width="2.00390625" style="0" customWidth="1"/>
    <col min="26" max="26" width="3.7109375" style="0" customWidth="1"/>
    <col min="27" max="27" width="2.28125" style="0" customWidth="1"/>
    <col min="28" max="28" width="5.421875" style="0" customWidth="1"/>
    <col min="29" max="30" width="4.8515625" style="0" customWidth="1"/>
    <col min="31" max="31" width="3.8515625" style="0" customWidth="1"/>
    <col min="32" max="32" width="2.421875" style="0" customWidth="1"/>
    <col min="33" max="33" width="6.421875" style="80" customWidth="1"/>
    <col min="34" max="34" width="7.28125" style="0" customWidth="1"/>
  </cols>
  <sheetData>
    <row r="1" spans="2:35" ht="12">
      <c r="B1" s="147" t="s">
        <v>45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</row>
    <row r="2" spans="2:35" ht="12.75">
      <c r="B2" s="147" t="s">
        <v>95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2:35" ht="15.75" thickBot="1">
      <c r="B3" s="148" t="s">
        <v>46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57"/>
    </row>
    <row r="4" spans="2:35" ht="12">
      <c r="B4" s="150" t="s">
        <v>0</v>
      </c>
      <c r="C4" s="153" t="s">
        <v>47</v>
      </c>
      <c r="D4" s="156" t="s">
        <v>48</v>
      </c>
      <c r="E4" s="158" t="s">
        <v>49</v>
      </c>
      <c r="F4" s="161" t="s">
        <v>50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3" t="s">
        <v>51</v>
      </c>
      <c r="AH4" s="163" t="s">
        <v>52</v>
      </c>
      <c r="AI4" s="58"/>
    </row>
    <row r="5" spans="2:35" ht="24" customHeight="1">
      <c r="B5" s="151"/>
      <c r="C5" s="154"/>
      <c r="D5" s="157"/>
      <c r="E5" s="159"/>
      <c r="F5" s="143" t="s">
        <v>53</v>
      </c>
      <c r="G5" s="134" t="s">
        <v>54</v>
      </c>
      <c r="H5" s="134" t="s">
        <v>55</v>
      </c>
      <c r="I5" s="146" t="s">
        <v>8</v>
      </c>
      <c r="J5" s="146"/>
      <c r="K5" s="140" t="s">
        <v>56</v>
      </c>
      <c r="L5" s="140" t="s">
        <v>57</v>
      </c>
      <c r="M5" s="140" t="s">
        <v>58</v>
      </c>
      <c r="N5" s="128" t="s">
        <v>59</v>
      </c>
      <c r="O5" s="128" t="s">
        <v>60</v>
      </c>
      <c r="P5" s="128" t="s">
        <v>61</v>
      </c>
      <c r="Q5" s="128" t="s">
        <v>62</v>
      </c>
      <c r="R5" s="128" t="s">
        <v>63</v>
      </c>
      <c r="S5" s="128" t="s">
        <v>64</v>
      </c>
      <c r="T5" s="128" t="s">
        <v>65</v>
      </c>
      <c r="U5" s="128" t="s">
        <v>66</v>
      </c>
      <c r="V5" s="128" t="s">
        <v>67</v>
      </c>
      <c r="W5" s="139" t="s">
        <v>68</v>
      </c>
      <c r="X5" s="139"/>
      <c r="Y5" s="139"/>
      <c r="Z5" s="128" t="s">
        <v>69</v>
      </c>
      <c r="AA5" s="128" t="s">
        <v>70</v>
      </c>
      <c r="AB5" s="59"/>
      <c r="AC5" s="128" t="s">
        <v>71</v>
      </c>
      <c r="AD5" s="128" t="s">
        <v>72</v>
      </c>
      <c r="AE5" s="131" t="s">
        <v>73</v>
      </c>
      <c r="AF5" s="134" t="s">
        <v>74</v>
      </c>
      <c r="AG5" s="164"/>
      <c r="AH5" s="164"/>
      <c r="AI5" s="58"/>
    </row>
    <row r="6" spans="2:35" ht="12">
      <c r="B6" s="151"/>
      <c r="C6" s="154"/>
      <c r="D6" s="157"/>
      <c r="E6" s="159"/>
      <c r="F6" s="144"/>
      <c r="G6" s="134"/>
      <c r="H6" s="134"/>
      <c r="I6" s="146"/>
      <c r="J6" s="146"/>
      <c r="K6" s="141"/>
      <c r="L6" s="141"/>
      <c r="M6" s="141"/>
      <c r="N6" s="129"/>
      <c r="O6" s="129"/>
      <c r="P6" s="129"/>
      <c r="Q6" s="129"/>
      <c r="R6" s="129"/>
      <c r="S6" s="129"/>
      <c r="T6" s="129"/>
      <c r="U6" s="129"/>
      <c r="V6" s="129"/>
      <c r="W6" s="139"/>
      <c r="X6" s="139"/>
      <c r="Y6" s="139"/>
      <c r="Z6" s="129"/>
      <c r="AA6" s="129"/>
      <c r="AB6" s="60"/>
      <c r="AC6" s="129"/>
      <c r="AD6" s="129"/>
      <c r="AE6" s="132"/>
      <c r="AF6" s="134"/>
      <c r="AG6" s="164"/>
      <c r="AH6" s="164"/>
      <c r="AI6" s="58"/>
    </row>
    <row r="7" spans="2:35" ht="12">
      <c r="B7" s="151"/>
      <c r="C7" s="154"/>
      <c r="D7" s="157"/>
      <c r="E7" s="159"/>
      <c r="F7" s="144"/>
      <c r="G7" s="134"/>
      <c r="H7" s="134"/>
      <c r="I7" s="135" t="s">
        <v>75</v>
      </c>
      <c r="J7" s="136" t="s">
        <v>76</v>
      </c>
      <c r="K7" s="141"/>
      <c r="L7" s="141"/>
      <c r="M7" s="141"/>
      <c r="N7" s="129"/>
      <c r="O7" s="129"/>
      <c r="P7" s="129"/>
      <c r="Q7" s="129"/>
      <c r="R7" s="129"/>
      <c r="S7" s="129"/>
      <c r="T7" s="129"/>
      <c r="U7" s="129"/>
      <c r="V7" s="129"/>
      <c r="W7" s="128" t="s">
        <v>77</v>
      </c>
      <c r="X7" s="128" t="s">
        <v>78</v>
      </c>
      <c r="Y7" s="128" t="s">
        <v>79</v>
      </c>
      <c r="Z7" s="129"/>
      <c r="AA7" s="129"/>
      <c r="AB7" s="60"/>
      <c r="AC7" s="129"/>
      <c r="AD7" s="129"/>
      <c r="AE7" s="132"/>
      <c r="AF7" s="134"/>
      <c r="AG7" s="164"/>
      <c r="AH7" s="164"/>
      <c r="AI7" s="58"/>
    </row>
    <row r="8" spans="2:35" ht="12">
      <c r="B8" s="151"/>
      <c r="C8" s="154"/>
      <c r="D8" s="157"/>
      <c r="E8" s="159"/>
      <c r="F8" s="144"/>
      <c r="G8" s="134"/>
      <c r="H8" s="134"/>
      <c r="I8" s="135"/>
      <c r="J8" s="137"/>
      <c r="K8" s="141"/>
      <c r="L8" s="141"/>
      <c r="M8" s="141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60"/>
      <c r="AC8" s="129"/>
      <c r="AD8" s="129"/>
      <c r="AE8" s="132"/>
      <c r="AF8" s="134"/>
      <c r="AG8" s="164"/>
      <c r="AH8" s="164"/>
      <c r="AI8" s="58"/>
    </row>
    <row r="9" spans="2:35" ht="12">
      <c r="B9" s="151"/>
      <c r="C9" s="154"/>
      <c r="D9" s="157"/>
      <c r="E9" s="159"/>
      <c r="F9" s="144"/>
      <c r="G9" s="134"/>
      <c r="H9" s="134"/>
      <c r="I9" s="135"/>
      <c r="J9" s="137"/>
      <c r="K9" s="141"/>
      <c r="L9" s="141"/>
      <c r="M9" s="141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60"/>
      <c r="AC9" s="129"/>
      <c r="AD9" s="129"/>
      <c r="AE9" s="132"/>
      <c r="AF9" s="134"/>
      <c r="AG9" s="164"/>
      <c r="AH9" s="164"/>
      <c r="AI9" s="58"/>
    </row>
    <row r="10" spans="2:35" ht="12">
      <c r="B10" s="151"/>
      <c r="C10" s="154"/>
      <c r="D10" s="157"/>
      <c r="E10" s="159"/>
      <c r="F10" s="144"/>
      <c r="G10" s="134"/>
      <c r="H10" s="134"/>
      <c r="I10" s="135"/>
      <c r="J10" s="137"/>
      <c r="K10" s="141"/>
      <c r="L10" s="141"/>
      <c r="M10" s="141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60"/>
      <c r="AC10" s="129"/>
      <c r="AD10" s="129"/>
      <c r="AE10" s="132"/>
      <c r="AF10" s="134"/>
      <c r="AG10" s="164"/>
      <c r="AH10" s="164"/>
      <c r="AI10" s="58"/>
    </row>
    <row r="11" spans="2:35" ht="12">
      <c r="B11" s="151"/>
      <c r="C11" s="154"/>
      <c r="D11" s="157"/>
      <c r="E11" s="159"/>
      <c r="F11" s="144"/>
      <c r="G11" s="134"/>
      <c r="H11" s="134"/>
      <c r="I11" s="135"/>
      <c r="J11" s="137"/>
      <c r="K11" s="141"/>
      <c r="L11" s="141"/>
      <c r="M11" s="141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60"/>
      <c r="AC11" s="129"/>
      <c r="AD11" s="129"/>
      <c r="AE11" s="132"/>
      <c r="AF11" s="134"/>
      <c r="AG11" s="164"/>
      <c r="AH11" s="164"/>
      <c r="AI11" s="58"/>
    </row>
    <row r="12" spans="2:35" ht="12">
      <c r="B12" s="151"/>
      <c r="C12" s="154"/>
      <c r="D12" s="157"/>
      <c r="E12" s="159"/>
      <c r="F12" s="144"/>
      <c r="G12" s="134"/>
      <c r="H12" s="134"/>
      <c r="I12" s="135"/>
      <c r="J12" s="137"/>
      <c r="K12" s="141"/>
      <c r="L12" s="141"/>
      <c r="M12" s="141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60"/>
      <c r="AC12" s="129"/>
      <c r="AD12" s="129"/>
      <c r="AE12" s="132"/>
      <c r="AF12" s="134"/>
      <c r="AG12" s="164"/>
      <c r="AH12" s="164"/>
      <c r="AI12" s="58"/>
    </row>
    <row r="13" spans="2:35" ht="12">
      <c r="B13" s="151"/>
      <c r="C13" s="154"/>
      <c r="D13" s="157"/>
      <c r="E13" s="159"/>
      <c r="F13" s="144"/>
      <c r="G13" s="134"/>
      <c r="H13" s="134"/>
      <c r="I13" s="135"/>
      <c r="J13" s="137"/>
      <c r="K13" s="141"/>
      <c r="L13" s="141"/>
      <c r="M13" s="141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60"/>
      <c r="AC13" s="129"/>
      <c r="AD13" s="129"/>
      <c r="AE13" s="132"/>
      <c r="AF13" s="134"/>
      <c r="AG13" s="164"/>
      <c r="AH13" s="164"/>
      <c r="AI13" s="58"/>
    </row>
    <row r="14" spans="2:35" ht="12">
      <c r="B14" s="151"/>
      <c r="C14" s="154"/>
      <c r="D14" s="157"/>
      <c r="E14" s="159"/>
      <c r="F14" s="144"/>
      <c r="G14" s="134"/>
      <c r="H14" s="134"/>
      <c r="I14" s="135"/>
      <c r="J14" s="137"/>
      <c r="K14" s="141"/>
      <c r="L14" s="141"/>
      <c r="M14" s="141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60"/>
      <c r="AC14" s="129"/>
      <c r="AD14" s="129"/>
      <c r="AE14" s="132"/>
      <c r="AF14" s="134"/>
      <c r="AG14" s="164"/>
      <c r="AH14" s="164"/>
      <c r="AI14" s="58"/>
    </row>
    <row r="15" spans="2:35" ht="12">
      <c r="B15" s="151"/>
      <c r="C15" s="154"/>
      <c r="D15" s="157"/>
      <c r="E15" s="159"/>
      <c r="F15" s="144"/>
      <c r="G15" s="134"/>
      <c r="H15" s="134"/>
      <c r="I15" s="135"/>
      <c r="J15" s="137"/>
      <c r="K15" s="141"/>
      <c r="L15" s="141"/>
      <c r="M15" s="14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60"/>
      <c r="AC15" s="129"/>
      <c r="AD15" s="129"/>
      <c r="AE15" s="132"/>
      <c r="AF15" s="134"/>
      <c r="AG15" s="164"/>
      <c r="AH15" s="164"/>
      <c r="AI15" s="58"/>
    </row>
    <row r="16" spans="2:35" ht="12">
      <c r="B16" s="151"/>
      <c r="C16" s="154"/>
      <c r="D16" s="157"/>
      <c r="E16" s="159"/>
      <c r="F16" s="144"/>
      <c r="G16" s="134"/>
      <c r="H16" s="134"/>
      <c r="I16" s="135"/>
      <c r="J16" s="137"/>
      <c r="K16" s="141"/>
      <c r="L16" s="141"/>
      <c r="M16" s="141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60"/>
      <c r="AC16" s="129"/>
      <c r="AD16" s="129"/>
      <c r="AE16" s="132"/>
      <c r="AF16" s="134"/>
      <c r="AG16" s="164"/>
      <c r="AH16" s="164"/>
      <c r="AI16" s="58"/>
    </row>
    <row r="17" spans="2:35" ht="35.25">
      <c r="B17" s="152"/>
      <c r="C17" s="155"/>
      <c r="D17" s="157"/>
      <c r="E17" s="160"/>
      <c r="F17" s="144"/>
      <c r="G17" s="145"/>
      <c r="H17" s="145"/>
      <c r="I17" s="128"/>
      <c r="J17" s="138"/>
      <c r="K17" s="142"/>
      <c r="L17" s="142"/>
      <c r="M17" s="142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61" t="s">
        <v>80</v>
      </c>
      <c r="AC17" s="130"/>
      <c r="AD17" s="130"/>
      <c r="AE17" s="133"/>
      <c r="AF17" s="134"/>
      <c r="AG17" s="165"/>
      <c r="AH17" s="165"/>
      <c r="AI17" s="58"/>
    </row>
    <row r="18" spans="2:36" ht="12">
      <c r="B18" s="62"/>
      <c r="C18" s="63"/>
      <c r="D18" s="64"/>
      <c r="E18" s="65"/>
      <c r="F18" s="66"/>
      <c r="G18" s="66"/>
      <c r="H18" s="66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6"/>
      <c r="AG18" s="65"/>
      <c r="AH18" s="65"/>
      <c r="AI18" s="82" t="s">
        <v>96</v>
      </c>
      <c r="AJ18" s="82" t="s">
        <v>97</v>
      </c>
    </row>
    <row r="19" spans="2:36" ht="12">
      <c r="B19" s="62"/>
      <c r="C19" s="68" t="s">
        <v>28</v>
      </c>
      <c r="D19" s="69">
        <v>390.9</v>
      </c>
      <c r="E19" s="70">
        <f>16.9*D19</f>
        <v>6606.209999999999</v>
      </c>
      <c r="F19" s="71">
        <f>3.620631*D19</f>
        <v>1415.3046579</v>
      </c>
      <c r="G19" s="71">
        <f>0.590917*D19</f>
        <v>230.9894553</v>
      </c>
      <c r="H19" s="71">
        <f>0.807416*D19</f>
        <v>315.6189144</v>
      </c>
      <c r="I19" s="72"/>
      <c r="J19" s="72">
        <f>0.05608*D19</f>
        <v>21.921671999999997</v>
      </c>
      <c r="K19" s="72">
        <f>0.49*D19</f>
        <v>191.541</v>
      </c>
      <c r="L19" s="72"/>
      <c r="M19" s="72"/>
      <c r="N19" s="72"/>
      <c r="O19" s="72">
        <f>1.644202*D19</f>
        <v>642.7185618</v>
      </c>
      <c r="P19" s="72"/>
      <c r="Q19" s="72"/>
      <c r="R19" s="72"/>
      <c r="S19" s="72"/>
      <c r="T19" s="72">
        <v>1550</v>
      </c>
      <c r="U19" s="72">
        <f>2*AI19</f>
        <v>459.604802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1"/>
      <c r="AG19" s="72">
        <f>F19+G19+H19+I19+J19+K19+L19+M19+N19+O19+P19+Q19+R19+S19+T19+U19+V19+W19+X19+Y19+Z19+AA19+AC19+AD19+AE19+AF19</f>
        <v>4827.699063399999</v>
      </c>
      <c r="AH19" s="72">
        <f>E19-AG19</f>
        <v>1778.5109365999997</v>
      </c>
      <c r="AI19" s="81">
        <v>229.802401</v>
      </c>
      <c r="AJ19" s="82">
        <v>309.3096599</v>
      </c>
    </row>
    <row r="20" spans="2:37" ht="12">
      <c r="B20" s="62"/>
      <c r="C20" s="68" t="s">
        <v>81</v>
      </c>
      <c r="D20" s="69">
        <v>390.9</v>
      </c>
      <c r="E20" s="70">
        <f aca="true" t="shared" si="0" ref="E20:E33">16.9*D20</f>
        <v>6606.209999999999</v>
      </c>
      <c r="F20" s="71">
        <f>4.042549*D20</f>
        <v>1580.2324041</v>
      </c>
      <c r="G20" s="71">
        <f>0.536632*D20</f>
        <v>209.7694488</v>
      </c>
      <c r="H20" s="71">
        <f>1.33039*D20</f>
        <v>520.049451</v>
      </c>
      <c r="I20" s="72"/>
      <c r="J20" s="72"/>
      <c r="K20" s="72">
        <f>0.49*D20</f>
        <v>191.541</v>
      </c>
      <c r="L20" s="72"/>
      <c r="M20" s="72"/>
      <c r="N20" s="72"/>
      <c r="O20" s="72">
        <f>0.434691*D20</f>
        <v>169.9207119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1"/>
      <c r="AF20" s="71"/>
      <c r="AG20" s="72">
        <f>F20+G20+H20+I20+J20+K20+L20+M20+N20+O20+P20+Q20+R20+S20+T20+U20+V20+W20+X20+Y20+Z20+AA20+AC20+AD20+AE20+AF20</f>
        <v>2671.5130157999997</v>
      </c>
      <c r="AH20" s="72">
        <f>E20-AG20</f>
        <v>3934.6969841999994</v>
      </c>
      <c r="AI20" s="83">
        <v>170.418065</v>
      </c>
      <c r="AJ20" s="84">
        <v>234.3738144</v>
      </c>
      <c r="AK20" s="84">
        <v>186.73925</v>
      </c>
    </row>
    <row r="21" spans="2:37" ht="12">
      <c r="B21" s="62"/>
      <c r="C21" s="68" t="s">
        <v>82</v>
      </c>
      <c r="D21" s="69">
        <v>390.9</v>
      </c>
      <c r="E21" s="70">
        <f t="shared" si="0"/>
        <v>6606.209999999999</v>
      </c>
      <c r="F21" s="71">
        <f>3.752237*D21</f>
        <v>1466.7494433</v>
      </c>
      <c r="G21" s="71">
        <f>0.57728*D21</f>
        <v>225.658752</v>
      </c>
      <c r="H21" s="71">
        <f>0.832061*D21</f>
        <v>325.2526449</v>
      </c>
      <c r="I21" s="72"/>
      <c r="J21" s="72"/>
      <c r="K21" s="72">
        <f>0.49*D21</f>
        <v>191.541</v>
      </c>
      <c r="L21" s="72"/>
      <c r="M21" s="72"/>
      <c r="N21" s="72"/>
      <c r="O21" s="72">
        <f>0.529698*D21</f>
        <v>207.05894819999997</v>
      </c>
      <c r="P21" s="72"/>
      <c r="Q21" s="72"/>
      <c r="R21" s="72"/>
      <c r="S21" s="72"/>
      <c r="T21" s="72">
        <f>2*AK21</f>
        <v>473.625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1"/>
      <c r="AG21" s="72">
        <f>F21+G21+H21+I21+J21+K21+L21+M21+N21+O21+P21+Q21+R21+S21+T21+U21+V21+W21+X21+Y21+Z21+AA21+AC21+AD21+AE21+AF21</f>
        <v>2889.8857884</v>
      </c>
      <c r="AH21" s="72">
        <f>E21-AG21</f>
        <v>3716.324211599999</v>
      </c>
      <c r="AI21" s="81">
        <v>172.949351</v>
      </c>
      <c r="AJ21" s="82">
        <v>175.2352941</v>
      </c>
      <c r="AK21" s="82">
        <v>236.8125</v>
      </c>
    </row>
    <row r="22" spans="2:35" ht="12">
      <c r="B22" s="62"/>
      <c r="C22" s="73" t="s">
        <v>83</v>
      </c>
      <c r="D22" s="64"/>
      <c r="E22" s="74">
        <f>E19+E20+E21</f>
        <v>19818.629999999997</v>
      </c>
      <c r="F22" s="74">
        <f aca="true" t="shared" si="1" ref="F22:AH22">F19+F20+F21</f>
        <v>4462.2865053</v>
      </c>
      <c r="G22" s="74">
        <f t="shared" si="1"/>
        <v>666.4176560999999</v>
      </c>
      <c r="H22" s="74">
        <f t="shared" si="1"/>
        <v>1160.9210103</v>
      </c>
      <c r="I22" s="74">
        <f t="shared" si="1"/>
        <v>0</v>
      </c>
      <c r="J22" s="74">
        <f t="shared" si="1"/>
        <v>21.921671999999997</v>
      </c>
      <c r="K22" s="74">
        <f t="shared" si="1"/>
        <v>574.623</v>
      </c>
      <c r="L22" s="74">
        <f t="shared" si="1"/>
        <v>0</v>
      </c>
      <c r="M22" s="74">
        <f t="shared" si="1"/>
        <v>0</v>
      </c>
      <c r="N22" s="74">
        <f t="shared" si="1"/>
        <v>0</v>
      </c>
      <c r="O22" s="74">
        <f t="shared" si="1"/>
        <v>1019.6982218999999</v>
      </c>
      <c r="P22" s="74">
        <f t="shared" si="1"/>
        <v>0</v>
      </c>
      <c r="Q22" s="74">
        <f t="shared" si="1"/>
        <v>0</v>
      </c>
      <c r="R22" s="74">
        <f t="shared" si="1"/>
        <v>0</v>
      </c>
      <c r="S22" s="74">
        <f t="shared" si="1"/>
        <v>0</v>
      </c>
      <c r="T22" s="74">
        <f t="shared" si="1"/>
        <v>2023.625</v>
      </c>
      <c r="U22" s="74">
        <f t="shared" si="1"/>
        <v>459.604802</v>
      </c>
      <c r="V22" s="74">
        <f t="shared" si="1"/>
        <v>0</v>
      </c>
      <c r="W22" s="74">
        <f t="shared" si="1"/>
        <v>0</v>
      </c>
      <c r="X22" s="74">
        <f t="shared" si="1"/>
        <v>0</v>
      </c>
      <c r="Y22" s="74">
        <f t="shared" si="1"/>
        <v>0</v>
      </c>
      <c r="Z22" s="74">
        <f t="shared" si="1"/>
        <v>0</v>
      </c>
      <c r="AA22" s="74">
        <f t="shared" si="1"/>
        <v>0</v>
      </c>
      <c r="AB22" s="74">
        <f t="shared" si="1"/>
        <v>0</v>
      </c>
      <c r="AC22" s="74">
        <f t="shared" si="1"/>
        <v>0</v>
      </c>
      <c r="AD22" s="74">
        <f t="shared" si="1"/>
        <v>0</v>
      </c>
      <c r="AE22" s="74">
        <f t="shared" si="1"/>
        <v>0</v>
      </c>
      <c r="AF22" s="74">
        <f t="shared" si="1"/>
        <v>0</v>
      </c>
      <c r="AG22" s="74">
        <f t="shared" si="1"/>
        <v>10389.097867599998</v>
      </c>
      <c r="AH22" s="74">
        <f t="shared" si="1"/>
        <v>9429.5321324</v>
      </c>
      <c r="AI22" s="67"/>
    </row>
    <row r="23" spans="2:38" ht="12">
      <c r="B23" s="62"/>
      <c r="C23" s="68" t="s">
        <v>84</v>
      </c>
      <c r="D23" s="69">
        <v>390.9</v>
      </c>
      <c r="E23" s="70">
        <f t="shared" si="0"/>
        <v>6606.209999999999</v>
      </c>
      <c r="F23" s="71">
        <f>2.62942*D23</f>
        <v>1027.840278</v>
      </c>
      <c r="G23" s="71">
        <f>0.390695*D23</f>
        <v>152.7226755</v>
      </c>
      <c r="H23" s="71">
        <f>0.912662*D23</f>
        <v>356.7595758</v>
      </c>
      <c r="I23" s="72"/>
      <c r="J23" s="72"/>
      <c r="K23" s="72">
        <f>0.49*D23</f>
        <v>191.541</v>
      </c>
      <c r="L23" s="72"/>
      <c r="M23" s="72"/>
      <c r="N23" s="72"/>
      <c r="O23" s="72">
        <f>1.157192*D23</f>
        <v>452.3463528</v>
      </c>
      <c r="P23" s="72"/>
      <c r="Q23" s="72"/>
      <c r="R23" s="72"/>
      <c r="S23" s="72"/>
      <c r="T23" s="72">
        <f>AJ23</f>
        <v>284.17825</v>
      </c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1"/>
      <c r="AG23" s="72">
        <f>F23+G23+H23+I23+J23+K23+L23+M23+N23+O23+P23+Q23+R23+S23+T23+U23+V23+W23+X23+Y23+Z23+AA23+AB23+AC23+AD23+AE23+AF23</f>
        <v>2465.3881321</v>
      </c>
      <c r="AH23" s="72">
        <f>E23-AG23</f>
        <v>4140.821867899999</v>
      </c>
      <c r="AI23" s="82">
        <v>180.376914</v>
      </c>
      <c r="AJ23" s="82">
        <v>284.17825</v>
      </c>
      <c r="AK23" s="82">
        <v>407.1071429</v>
      </c>
      <c r="AL23" s="82">
        <v>190.5285938</v>
      </c>
    </row>
    <row r="24" spans="2:36" ht="12">
      <c r="B24" s="62"/>
      <c r="C24" s="68" t="s">
        <v>85</v>
      </c>
      <c r="D24" s="69">
        <v>390.9</v>
      </c>
      <c r="E24" s="70">
        <f t="shared" si="0"/>
        <v>6606.209999999999</v>
      </c>
      <c r="F24" s="71">
        <f>3.472983*D24</f>
        <v>1357.5890547</v>
      </c>
      <c r="G24" s="71">
        <f>0.284652*D24</f>
        <v>111.2704668</v>
      </c>
      <c r="H24" s="71">
        <f>1.949445*D24</f>
        <v>762.0380504999999</v>
      </c>
      <c r="I24" s="72"/>
      <c r="J24" s="72"/>
      <c r="K24" s="72">
        <f>0.49*D24</f>
        <v>191.541</v>
      </c>
      <c r="L24" s="72">
        <f>0.283454*D24</f>
        <v>110.80216859999999</v>
      </c>
      <c r="M24" s="72"/>
      <c r="N24" s="72"/>
      <c r="O24" s="72">
        <f>0.588997*D24</f>
        <v>230.23892729999997</v>
      </c>
      <c r="P24" s="72"/>
      <c r="Q24" s="72">
        <v>5168.8</v>
      </c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1"/>
      <c r="AG24" s="72">
        <f>F24+G24+H24+I24+J24+K24+L24+M24+N24+O24+P24+Q24+R24+S24+T24+U24+V24+W24+X24+Y24+Z24+AA24+AB24+AC24+AD24+AE24+AF24</f>
        <v>7932.2796679</v>
      </c>
      <c r="AH24" s="72">
        <f>E24-AG24</f>
        <v>-1326.0696679000011</v>
      </c>
      <c r="AI24" s="82">
        <v>261.274768</v>
      </c>
      <c r="AJ24" s="82">
        <v>249.827033</v>
      </c>
    </row>
    <row r="25" spans="2:37" ht="12">
      <c r="B25" s="62"/>
      <c r="C25" s="68" t="s">
        <v>86</v>
      </c>
      <c r="D25" s="69">
        <v>390.9</v>
      </c>
      <c r="E25" s="70">
        <f t="shared" si="0"/>
        <v>6606.209999999999</v>
      </c>
      <c r="F25" s="71">
        <f>4.937824*D25</f>
        <v>1930.1954016</v>
      </c>
      <c r="G25" s="71">
        <f>0.200855*D25</f>
        <v>78.5142195</v>
      </c>
      <c r="H25" s="71">
        <f>0.760732*D25</f>
        <v>297.37013879999995</v>
      </c>
      <c r="I25" s="72"/>
      <c r="J25" s="72"/>
      <c r="K25" s="72">
        <f>0.49*D25</f>
        <v>191.541</v>
      </c>
      <c r="L25" s="72"/>
      <c r="M25" s="72"/>
      <c r="N25" s="72"/>
      <c r="O25" s="72">
        <f>1.225822*D25</f>
        <v>479.17381979999993</v>
      </c>
      <c r="P25" s="72"/>
      <c r="Q25" s="72">
        <v>6511</v>
      </c>
      <c r="R25" s="72"/>
      <c r="S25" s="72"/>
      <c r="T25" s="72"/>
      <c r="U25" s="72"/>
      <c r="V25" s="72"/>
      <c r="W25" s="72"/>
      <c r="X25" s="72">
        <f>8*99</f>
        <v>792</v>
      </c>
      <c r="Y25" s="72"/>
      <c r="Z25" s="72"/>
      <c r="AA25" s="72"/>
      <c r="AB25" s="72">
        <f>8*AI25+246.04</f>
        <v>1668.736056</v>
      </c>
      <c r="AC25" s="72"/>
      <c r="AD25" s="72"/>
      <c r="AE25" s="72"/>
      <c r="AF25" s="71"/>
      <c r="AG25" s="72">
        <f>F25+G25+H25+I25+J25+K25+L25+M25+N25+O25+P25+Q25+R25+S25+T25+U25+V25+W25+X25+Y25+Z25+AA25+AB25+AC25+AD25+AE25+AF25</f>
        <v>11948.530635699999</v>
      </c>
      <c r="AH25" s="72">
        <f>E25-AG25</f>
        <v>-5342.3206357</v>
      </c>
      <c r="AI25" s="82">
        <v>177.837007</v>
      </c>
      <c r="AJ25" s="82">
        <v>183.340807</v>
      </c>
      <c r="AK25" s="82">
        <v>197.568</v>
      </c>
    </row>
    <row r="26" spans="2:35" ht="12">
      <c r="B26" s="62"/>
      <c r="C26" s="73" t="s">
        <v>87</v>
      </c>
      <c r="D26" s="64"/>
      <c r="E26" s="74">
        <f>E22+E23+E24+E25</f>
        <v>39637.259999999995</v>
      </c>
      <c r="F26" s="74">
        <f aca="true" t="shared" si="2" ref="F26:AH26">F22+F23+F24+F25</f>
        <v>8777.911239599998</v>
      </c>
      <c r="G26" s="74">
        <f t="shared" si="2"/>
        <v>1008.9250179</v>
      </c>
      <c r="H26" s="74">
        <f t="shared" si="2"/>
        <v>2577.0887754</v>
      </c>
      <c r="I26" s="74">
        <f t="shared" si="2"/>
        <v>0</v>
      </c>
      <c r="J26" s="74">
        <f t="shared" si="2"/>
        <v>21.921671999999997</v>
      </c>
      <c r="K26" s="74">
        <f t="shared" si="2"/>
        <v>1149.2459999999999</v>
      </c>
      <c r="L26" s="74">
        <f t="shared" si="2"/>
        <v>110.80216859999999</v>
      </c>
      <c r="M26" s="74">
        <f t="shared" si="2"/>
        <v>0</v>
      </c>
      <c r="N26" s="74">
        <f t="shared" si="2"/>
        <v>0</v>
      </c>
      <c r="O26" s="74">
        <f t="shared" si="2"/>
        <v>2181.4573217999996</v>
      </c>
      <c r="P26" s="74">
        <f t="shared" si="2"/>
        <v>0</v>
      </c>
      <c r="Q26" s="74">
        <f t="shared" si="2"/>
        <v>11679.8</v>
      </c>
      <c r="R26" s="74">
        <f t="shared" si="2"/>
        <v>0</v>
      </c>
      <c r="S26" s="74">
        <f t="shared" si="2"/>
        <v>0</v>
      </c>
      <c r="T26" s="74">
        <f t="shared" si="2"/>
        <v>2307.80325</v>
      </c>
      <c r="U26" s="74">
        <f t="shared" si="2"/>
        <v>459.604802</v>
      </c>
      <c r="V26" s="74">
        <f t="shared" si="2"/>
        <v>0</v>
      </c>
      <c r="W26" s="74">
        <f t="shared" si="2"/>
        <v>0</v>
      </c>
      <c r="X26" s="74">
        <f t="shared" si="2"/>
        <v>792</v>
      </c>
      <c r="Y26" s="74">
        <f t="shared" si="2"/>
        <v>0</v>
      </c>
      <c r="Z26" s="74">
        <f t="shared" si="2"/>
        <v>0</v>
      </c>
      <c r="AA26" s="74">
        <f t="shared" si="2"/>
        <v>0</v>
      </c>
      <c r="AB26" s="74">
        <f t="shared" si="2"/>
        <v>1668.736056</v>
      </c>
      <c r="AC26" s="74">
        <f t="shared" si="2"/>
        <v>0</v>
      </c>
      <c r="AD26" s="74">
        <f t="shared" si="2"/>
        <v>0</v>
      </c>
      <c r="AE26" s="74">
        <f t="shared" si="2"/>
        <v>0</v>
      </c>
      <c r="AF26" s="74">
        <f t="shared" si="2"/>
        <v>0</v>
      </c>
      <c r="AG26" s="74">
        <f t="shared" si="2"/>
        <v>32735.296303299998</v>
      </c>
      <c r="AH26" s="74">
        <f t="shared" si="2"/>
        <v>6901.963696699997</v>
      </c>
      <c r="AI26" s="67"/>
    </row>
    <row r="27" spans="2:36" ht="12">
      <c r="B27" s="62"/>
      <c r="C27" s="68" t="s">
        <v>88</v>
      </c>
      <c r="D27" s="69">
        <v>390.9</v>
      </c>
      <c r="E27" s="70">
        <f t="shared" si="0"/>
        <v>6606.209999999999</v>
      </c>
      <c r="F27" s="71">
        <f>6.162842*D27</f>
        <v>2409.0549378</v>
      </c>
      <c r="G27" s="71">
        <f>0.214405*D27</f>
        <v>83.8109145</v>
      </c>
      <c r="H27" s="71">
        <f>0.660634*D27</f>
        <v>258.2418306</v>
      </c>
      <c r="I27" s="72"/>
      <c r="J27" s="72"/>
      <c r="K27" s="72">
        <f>0.49*D27</f>
        <v>191.541</v>
      </c>
      <c r="L27" s="72"/>
      <c r="M27" s="72"/>
      <c r="N27" s="72"/>
      <c r="O27" s="72">
        <f>0.022209325*D27</f>
        <v>8.6816251425</v>
      </c>
      <c r="P27" s="72"/>
      <c r="Q27" s="72">
        <f>2389+397.44</f>
        <v>2786.44</v>
      </c>
      <c r="R27" s="72"/>
      <c r="S27" s="72"/>
      <c r="T27" s="72">
        <f>AJ27</f>
        <v>204.8131532</v>
      </c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1"/>
      <c r="AG27" s="72">
        <f>F27+G27+H27+I27+J27+K27+L27+M27+N27+O27+P27+Q27+R27+S27+T27+U27+V27+W27+X27+Y27+Z27+AA27+AB27+AC27+AD27+AE27+AF27</f>
        <v>5942.5834612425</v>
      </c>
      <c r="AH27" s="72">
        <f>E27-AG27</f>
        <v>663.6265387574995</v>
      </c>
      <c r="AI27" s="84">
        <v>183.656139</v>
      </c>
      <c r="AJ27" s="82">
        <v>204.8131532</v>
      </c>
    </row>
    <row r="28" spans="2:36" ht="12" customHeight="1">
      <c r="B28" s="62"/>
      <c r="C28" s="63" t="s">
        <v>89</v>
      </c>
      <c r="D28" s="69">
        <v>390.9</v>
      </c>
      <c r="E28" s="70">
        <f t="shared" si="0"/>
        <v>6606.209999999999</v>
      </c>
      <c r="F28" s="71">
        <f>5.744826*D28</f>
        <v>2245.6524833999997</v>
      </c>
      <c r="G28" s="71">
        <f>0.21183*D28</f>
        <v>82.80434699999999</v>
      </c>
      <c r="H28" s="71">
        <f>1.465988*D28</f>
        <v>573.0547092</v>
      </c>
      <c r="I28" s="72"/>
      <c r="J28" s="72"/>
      <c r="K28" s="72">
        <f>0.49*D28</f>
        <v>191.541</v>
      </c>
      <c r="L28" s="72"/>
      <c r="M28" s="72"/>
      <c r="N28" s="72"/>
      <c r="O28" s="72">
        <f>0.246607*D28</f>
        <v>96.39867629999999</v>
      </c>
      <c r="P28" s="72"/>
      <c r="Q28" s="72">
        <v>43898</v>
      </c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>
        <f>24*AI28+540</f>
        <v>5139.813504</v>
      </c>
      <c r="AC28" s="72"/>
      <c r="AD28" s="72">
        <f>24*AI28+90</f>
        <v>4689.813504</v>
      </c>
      <c r="AE28" s="72"/>
      <c r="AF28" s="71"/>
      <c r="AG28" s="72">
        <f>F28+G28+H28+I28+J28+K28+L28+M28+N28+O28+P28+Q28+R28+S28+T28+U28+V28+W28+X28+Y28+Z28+AA28+AB28+AC28+AD28+AE28+AF28</f>
        <v>56917.0782239</v>
      </c>
      <c r="AH28" s="72">
        <f>E28-AG28</f>
        <v>-50310.8682239</v>
      </c>
      <c r="AI28" s="82">
        <v>191.658896</v>
      </c>
      <c r="AJ28" s="82">
        <v>231.9705102</v>
      </c>
    </row>
    <row r="29" spans="2:36" ht="12">
      <c r="B29" s="62"/>
      <c r="C29" s="63" t="s">
        <v>27</v>
      </c>
      <c r="D29" s="69">
        <v>390.9</v>
      </c>
      <c r="E29" s="70">
        <f t="shared" si="0"/>
        <v>6606.209999999999</v>
      </c>
      <c r="F29" s="71">
        <f>3.749178*D29</f>
        <v>1465.5536802</v>
      </c>
      <c r="G29" s="71">
        <f>0.312954*D29</f>
        <v>122.3337186</v>
      </c>
      <c r="H29" s="71">
        <f>0.957938*D29</f>
        <v>374.45796419999994</v>
      </c>
      <c r="I29" s="72"/>
      <c r="J29" s="72"/>
      <c r="K29" s="72">
        <f>0.49*D29</f>
        <v>191.541</v>
      </c>
      <c r="L29" s="72"/>
      <c r="M29" s="72"/>
      <c r="N29" s="72"/>
      <c r="O29" s="72">
        <f>0.999758*D29</f>
        <v>390.8054022</v>
      </c>
      <c r="P29" s="72"/>
      <c r="Q29" s="72"/>
      <c r="R29" s="72"/>
      <c r="S29" s="72"/>
      <c r="T29" s="72">
        <f>AJ29</f>
        <v>234.373814432</v>
      </c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>
        <f>AI29</f>
        <v>216.184146</v>
      </c>
      <c r="AF29" s="71"/>
      <c r="AG29" s="72">
        <f>F29+G29+H29+I29+J29+K29+L29+M29+N29+O29+P29+Q29+R29+S29+T29+U29+V29+W29+X29+Y29+Z29+AA29+AB29+AC29+AD29+AE29+AF29</f>
        <v>2995.2497256320003</v>
      </c>
      <c r="AH29" s="72">
        <f>E29-AG29</f>
        <v>3610.960274367999</v>
      </c>
      <c r="AI29" s="82">
        <v>216.184146</v>
      </c>
      <c r="AJ29" s="82">
        <v>234.373814432</v>
      </c>
    </row>
    <row r="30" spans="2:35" ht="12">
      <c r="B30" s="62"/>
      <c r="C30" s="73" t="s">
        <v>90</v>
      </c>
      <c r="D30" s="64"/>
      <c r="E30" s="74">
        <f aca="true" t="shared" si="3" ref="E30:AH30">E26+E27+E29+E28</f>
        <v>59455.88999999999</v>
      </c>
      <c r="F30" s="74">
        <f t="shared" si="3"/>
        <v>14898.172340999998</v>
      </c>
      <c r="G30" s="74">
        <f t="shared" si="3"/>
        <v>1297.8739979999998</v>
      </c>
      <c r="H30" s="74">
        <f t="shared" si="3"/>
        <v>3782.8432794</v>
      </c>
      <c r="I30" s="74">
        <f t="shared" si="3"/>
        <v>0</v>
      </c>
      <c r="J30" s="74">
        <f t="shared" si="3"/>
        <v>21.921671999999997</v>
      </c>
      <c r="K30" s="74">
        <f t="shared" si="3"/>
        <v>1723.8689999999997</v>
      </c>
      <c r="L30" s="74">
        <f t="shared" si="3"/>
        <v>110.80216859999999</v>
      </c>
      <c r="M30" s="74">
        <f t="shared" si="3"/>
        <v>0</v>
      </c>
      <c r="N30" s="74">
        <f t="shared" si="3"/>
        <v>0</v>
      </c>
      <c r="O30" s="74">
        <f t="shared" si="3"/>
        <v>2677.3430254424993</v>
      </c>
      <c r="P30" s="74">
        <f t="shared" si="3"/>
        <v>0</v>
      </c>
      <c r="Q30" s="74">
        <f t="shared" si="3"/>
        <v>58364.24</v>
      </c>
      <c r="R30" s="74">
        <f t="shared" si="3"/>
        <v>0</v>
      </c>
      <c r="S30" s="74">
        <f t="shared" si="3"/>
        <v>0</v>
      </c>
      <c r="T30" s="74">
        <f t="shared" si="3"/>
        <v>2746.9902176319997</v>
      </c>
      <c r="U30" s="74">
        <f t="shared" si="3"/>
        <v>459.604802</v>
      </c>
      <c r="V30" s="74">
        <f t="shared" si="3"/>
        <v>0</v>
      </c>
      <c r="W30" s="74">
        <f t="shared" si="3"/>
        <v>0</v>
      </c>
      <c r="X30" s="74">
        <f t="shared" si="3"/>
        <v>792</v>
      </c>
      <c r="Y30" s="74">
        <f t="shared" si="3"/>
        <v>0</v>
      </c>
      <c r="Z30" s="74">
        <f t="shared" si="3"/>
        <v>0</v>
      </c>
      <c r="AA30" s="74">
        <f t="shared" si="3"/>
        <v>0</v>
      </c>
      <c r="AB30" s="74">
        <f t="shared" si="3"/>
        <v>6808.5495599999995</v>
      </c>
      <c r="AC30" s="74">
        <f t="shared" si="3"/>
        <v>0</v>
      </c>
      <c r="AD30" s="74">
        <f t="shared" si="3"/>
        <v>4689.813504</v>
      </c>
      <c r="AE30" s="74">
        <f t="shared" si="3"/>
        <v>216.184146</v>
      </c>
      <c r="AF30" s="74">
        <f t="shared" si="3"/>
        <v>0</v>
      </c>
      <c r="AG30" s="72">
        <f>AG26+AG27+AG28+AG29</f>
        <v>98590.20771407451</v>
      </c>
      <c r="AH30" s="74">
        <f t="shared" si="3"/>
        <v>-39134.3177140745</v>
      </c>
      <c r="AI30" s="67"/>
    </row>
    <row r="31" spans="2:36" ht="12">
      <c r="B31" s="75"/>
      <c r="C31" s="68" t="s">
        <v>91</v>
      </c>
      <c r="D31" s="69">
        <v>390.9</v>
      </c>
      <c r="E31" s="70">
        <f t="shared" si="0"/>
        <v>6606.209999999999</v>
      </c>
      <c r="F31" s="71">
        <f>4.82476*D31</f>
        <v>1885.9986840000001</v>
      </c>
      <c r="G31" s="71">
        <f>0.446016*D31</f>
        <v>174.3476544</v>
      </c>
      <c r="H31" s="71">
        <f>0.929276*D31</f>
        <v>363.25398839999997</v>
      </c>
      <c r="I31" s="72"/>
      <c r="J31" s="72"/>
      <c r="K31" s="72">
        <f>0.49*D31</f>
        <v>191.541</v>
      </c>
      <c r="L31" s="72"/>
      <c r="M31" s="72"/>
      <c r="N31" s="72"/>
      <c r="O31" s="72">
        <f>0.872192*D31</f>
        <v>340.9398528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>
        <f>16*AI31+863+397.15</f>
        <v>4418.339216</v>
      </c>
      <c r="AD31" s="72"/>
      <c r="AE31" s="72"/>
      <c r="AF31" s="71"/>
      <c r="AG31" s="72">
        <f>F31+G31+H31+I31+J31+K31+L31+M31+N31+O31+P31+Q31+R31+S31+T31+U31+V31+W31+X31+Y31+Z31+AA31+AC31+AD31+AE31+AF31</f>
        <v>7374.4203956</v>
      </c>
      <c r="AH31" s="72">
        <f>E31-AG31</f>
        <v>-768.210395600001</v>
      </c>
      <c r="AI31" s="81">
        <v>197.386826</v>
      </c>
      <c r="AJ31" s="82">
        <v>244.4544086</v>
      </c>
    </row>
    <row r="32" spans="2:36" ht="12">
      <c r="B32" s="75"/>
      <c r="C32" s="68" t="s">
        <v>92</v>
      </c>
      <c r="D32" s="69">
        <v>390.9</v>
      </c>
      <c r="E32" s="70">
        <f t="shared" si="0"/>
        <v>6606.209999999999</v>
      </c>
      <c r="F32" s="71">
        <f>4.977053*D32</f>
        <v>1945.5300176999997</v>
      </c>
      <c r="G32" s="71">
        <f>0.530648*D32</f>
        <v>207.4303032</v>
      </c>
      <c r="H32" s="71">
        <f>1.014736*D32</f>
        <v>396.66030240000003</v>
      </c>
      <c r="I32" s="72"/>
      <c r="J32" s="72"/>
      <c r="K32" s="72">
        <f>0.49*D32</f>
        <v>191.541</v>
      </c>
      <c r="L32" s="72"/>
      <c r="M32" s="72"/>
      <c r="N32" s="72"/>
      <c r="O32" s="72">
        <f>1.966728*D32</f>
        <v>768.7939752</v>
      </c>
      <c r="P32" s="72"/>
      <c r="Q32" s="72"/>
      <c r="R32" s="72"/>
      <c r="S32" s="72"/>
      <c r="T32" s="72">
        <f>2*AJ32</f>
        <v>516.6877272</v>
      </c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1"/>
      <c r="AG32" s="72">
        <f>F32+G32+H32+I32+J32+K32+L32+M32+N32+O32+P32+Q32+R32+S32+T32+U32+V32+W32+X32+Y32+Z32+AA32+AC32+AD32+AE32+AF32</f>
        <v>4026.6433257</v>
      </c>
      <c r="AH32" s="72">
        <f>E32-AG32</f>
        <v>2579.5666742999992</v>
      </c>
      <c r="AI32" s="85">
        <v>189.737215</v>
      </c>
      <c r="AJ32" s="86">
        <v>258.3438636</v>
      </c>
    </row>
    <row r="33" spans="2:36" ht="12">
      <c r="B33" s="75"/>
      <c r="C33" s="68" t="s">
        <v>93</v>
      </c>
      <c r="D33" s="69">
        <v>390.9</v>
      </c>
      <c r="E33" s="70">
        <f t="shared" si="0"/>
        <v>6606.209999999999</v>
      </c>
      <c r="F33" s="71">
        <v>1885.9982931</v>
      </c>
      <c r="G33" s="71">
        <v>246.1931199</v>
      </c>
      <c r="H33" s="71">
        <v>380.99576669999993</v>
      </c>
      <c r="I33" s="72"/>
      <c r="J33" s="72">
        <v>2832.4226594645997</v>
      </c>
      <c r="K33" s="72">
        <v>191.541</v>
      </c>
      <c r="L33" s="72">
        <v>110.8033413</v>
      </c>
      <c r="M33" s="72"/>
      <c r="N33" s="72"/>
      <c r="O33" s="72">
        <v>548.1868239</v>
      </c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1"/>
      <c r="AG33" s="72">
        <f>F33+G33+H33+I33+J33+K33+L33+M33+N33+O33+P33+Q33+R33+S33+T33+U33+V33+W33+X33+Y33+Z33+AA33+AC33+AD33+AE33+AF33</f>
        <v>6196.141004364599</v>
      </c>
      <c r="AH33" s="72">
        <f>E33-AG33</f>
        <v>410.0689956353999</v>
      </c>
      <c r="AI33" s="87">
        <v>178.645257</v>
      </c>
      <c r="AJ33" s="88">
        <v>186.3463934</v>
      </c>
    </row>
    <row r="34" spans="2:34" ht="12">
      <c r="B34" s="75"/>
      <c r="C34" s="73" t="s">
        <v>94</v>
      </c>
      <c r="D34" s="75"/>
      <c r="E34" s="76">
        <f>E30+E31+E32+E33</f>
        <v>79274.51999999999</v>
      </c>
      <c r="F34" s="76">
        <f aca="true" t="shared" si="4" ref="F34:AG34">F30+F31+F32+F33</f>
        <v>20615.699335799996</v>
      </c>
      <c r="G34" s="76">
        <f t="shared" si="4"/>
        <v>1925.8450755</v>
      </c>
      <c r="H34" s="76">
        <f t="shared" si="4"/>
        <v>4923.753336899999</v>
      </c>
      <c r="I34" s="76">
        <f t="shared" si="4"/>
        <v>0</v>
      </c>
      <c r="J34" s="76">
        <f t="shared" si="4"/>
        <v>2854.3443314645997</v>
      </c>
      <c r="K34" s="76">
        <f t="shared" si="4"/>
        <v>2298.4919999999997</v>
      </c>
      <c r="L34" s="76">
        <f t="shared" si="4"/>
        <v>221.6055099</v>
      </c>
      <c r="M34" s="76">
        <f t="shared" si="4"/>
        <v>0</v>
      </c>
      <c r="N34" s="76">
        <f t="shared" si="4"/>
        <v>0</v>
      </c>
      <c r="O34" s="76">
        <f t="shared" si="4"/>
        <v>4335.2636773425</v>
      </c>
      <c r="P34" s="76">
        <f t="shared" si="4"/>
        <v>0</v>
      </c>
      <c r="Q34" s="76">
        <f t="shared" si="4"/>
        <v>58364.24</v>
      </c>
      <c r="R34" s="76">
        <f t="shared" si="4"/>
        <v>0</v>
      </c>
      <c r="S34" s="76">
        <f t="shared" si="4"/>
        <v>0</v>
      </c>
      <c r="T34" s="76">
        <f t="shared" si="4"/>
        <v>3263.677944832</v>
      </c>
      <c r="U34" s="76">
        <f t="shared" si="4"/>
        <v>459.604802</v>
      </c>
      <c r="V34" s="76">
        <f t="shared" si="4"/>
        <v>0</v>
      </c>
      <c r="W34" s="76">
        <f t="shared" si="4"/>
        <v>0</v>
      </c>
      <c r="X34" s="76">
        <f t="shared" si="4"/>
        <v>792</v>
      </c>
      <c r="Y34" s="76">
        <f t="shared" si="4"/>
        <v>0</v>
      </c>
      <c r="Z34" s="76">
        <f t="shared" si="4"/>
        <v>0</v>
      </c>
      <c r="AA34" s="76">
        <f t="shared" si="4"/>
        <v>0</v>
      </c>
      <c r="AB34" s="76">
        <f t="shared" si="4"/>
        <v>6808.5495599999995</v>
      </c>
      <c r="AC34" s="76">
        <f t="shared" si="4"/>
        <v>4418.339216</v>
      </c>
      <c r="AD34" s="76">
        <f t="shared" si="4"/>
        <v>4689.813504</v>
      </c>
      <c r="AE34" s="76">
        <f t="shared" si="4"/>
        <v>216.184146</v>
      </c>
      <c r="AF34" s="76">
        <f t="shared" si="4"/>
        <v>0</v>
      </c>
      <c r="AG34" s="79">
        <f t="shared" si="4"/>
        <v>116187.41243973911</v>
      </c>
      <c r="AH34" s="77">
        <f>E34-AG34</f>
        <v>-36912.892439739124</v>
      </c>
    </row>
  </sheetData>
  <sheetProtection/>
  <mergeCells count="38">
    <mergeCell ref="B1:AI1"/>
    <mergeCell ref="B2:AI2"/>
    <mergeCell ref="B3:AH3"/>
    <mergeCell ref="B4:B17"/>
    <mergeCell ref="C4:C17"/>
    <mergeCell ref="D4:D17"/>
    <mergeCell ref="E4:E17"/>
    <mergeCell ref="F4:AF4"/>
    <mergeCell ref="AG4:AG17"/>
    <mergeCell ref="AH4:AH17"/>
    <mergeCell ref="F5:F17"/>
    <mergeCell ref="G5:G17"/>
    <mergeCell ref="H5:H17"/>
    <mergeCell ref="I5:J6"/>
    <mergeCell ref="K5:K17"/>
    <mergeCell ref="L5:L17"/>
    <mergeCell ref="M5:M17"/>
    <mergeCell ref="N5:N17"/>
    <mergeCell ref="O5:O17"/>
    <mergeCell ref="P5:P17"/>
    <mergeCell ref="Q5:Q17"/>
    <mergeCell ref="R5:R17"/>
    <mergeCell ref="S5:S17"/>
    <mergeCell ref="T5:T17"/>
    <mergeCell ref="U5:U17"/>
    <mergeCell ref="V5:V17"/>
    <mergeCell ref="W5:Y6"/>
    <mergeCell ref="Z5:Z17"/>
    <mergeCell ref="AA5:AA17"/>
    <mergeCell ref="AC5:AC17"/>
    <mergeCell ref="AD5:AD17"/>
    <mergeCell ref="AE5:AE17"/>
    <mergeCell ref="AF5:AF17"/>
    <mergeCell ref="I7:I17"/>
    <mergeCell ref="J7:J17"/>
    <mergeCell ref="W7:W17"/>
    <mergeCell ref="X7:X17"/>
    <mergeCell ref="Y7:Y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37"/>
  <sheetViews>
    <sheetView zoomScalePageLayoutView="0" workbookViewId="0" topLeftCell="A18">
      <selection activeCell="K36" sqref="K36:Z40"/>
    </sheetView>
  </sheetViews>
  <sheetFormatPr defaultColWidth="9.140625" defaultRowHeight="12.75"/>
  <cols>
    <col min="1" max="1" width="2.00390625" style="80" customWidth="1"/>
    <col min="2" max="2" width="3.421875" style="80" customWidth="1"/>
    <col min="3" max="3" width="11.57421875" style="92" customWidth="1"/>
    <col min="4" max="4" width="5.140625" style="80" customWidth="1"/>
    <col min="5" max="5" width="7.421875" style="80" customWidth="1"/>
    <col min="6" max="6" width="6.57421875" style="80" customWidth="1"/>
    <col min="7" max="7" width="4.7109375" style="80" customWidth="1"/>
    <col min="8" max="8" width="2.421875" style="80" customWidth="1"/>
    <col min="9" max="9" width="2.8515625" style="80" customWidth="1"/>
    <col min="10" max="10" width="5.421875" style="80" customWidth="1"/>
    <col min="11" max="11" width="2.8515625" style="80" customWidth="1"/>
    <col min="12" max="12" width="6.8515625" style="80" customWidth="1"/>
    <col min="13" max="13" width="2.421875" style="80" customWidth="1"/>
    <col min="14" max="14" width="3.140625" style="80" customWidth="1"/>
    <col min="15" max="15" width="5.57421875" style="80" customWidth="1"/>
    <col min="16" max="16" width="5.28125" style="80" customWidth="1"/>
    <col min="17" max="17" width="5.57421875" style="80" customWidth="1"/>
    <col min="18" max="18" width="3.421875" style="80" customWidth="1"/>
    <col min="19" max="19" width="4.57421875" style="80" customWidth="1"/>
    <col min="20" max="20" width="3.28125" style="80" customWidth="1"/>
    <col min="21" max="21" width="2.8515625" style="80" customWidth="1"/>
    <col min="22" max="22" width="2.28125" style="80" customWidth="1"/>
    <col min="23" max="23" width="5.8515625" style="80" customWidth="1"/>
    <col min="24" max="25" width="5.57421875" style="80" customWidth="1"/>
    <col min="26" max="26" width="4.421875" style="80" customWidth="1"/>
    <col min="27" max="27" width="2.421875" style="80" customWidth="1"/>
    <col min="28" max="28" width="7.57421875" style="80" customWidth="1"/>
    <col min="29" max="29" width="7.28125" style="0" customWidth="1"/>
  </cols>
  <sheetData>
    <row r="1" spans="2:30" ht="12">
      <c r="B1" s="147" t="s">
        <v>45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2:30" ht="12.75">
      <c r="B2" s="147" t="s">
        <v>95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2:30" ht="15.75" thickBot="1">
      <c r="B3" s="148" t="s">
        <v>46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57"/>
    </row>
    <row r="4" spans="2:30" ht="12">
      <c r="B4" s="150" t="s">
        <v>0</v>
      </c>
      <c r="C4" s="153" t="s">
        <v>47</v>
      </c>
      <c r="D4" s="156" t="s">
        <v>48</v>
      </c>
      <c r="E4" s="158" t="s">
        <v>49</v>
      </c>
      <c r="F4" s="161" t="s">
        <v>50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3" t="s">
        <v>51</v>
      </c>
      <c r="AC4" s="166" t="s">
        <v>52</v>
      </c>
      <c r="AD4" s="58"/>
    </row>
    <row r="5" spans="2:30" ht="24" customHeight="1">
      <c r="B5" s="151"/>
      <c r="C5" s="154"/>
      <c r="D5" s="157"/>
      <c r="E5" s="159"/>
      <c r="F5" s="143" t="s">
        <v>101</v>
      </c>
      <c r="G5" s="140" t="s">
        <v>57</v>
      </c>
      <c r="H5" s="140" t="s">
        <v>58</v>
      </c>
      <c r="I5" s="128" t="s">
        <v>103</v>
      </c>
      <c r="J5" s="128" t="s">
        <v>60</v>
      </c>
      <c r="K5" s="128" t="s">
        <v>61</v>
      </c>
      <c r="L5" s="128" t="s">
        <v>62</v>
      </c>
      <c r="M5" s="128" t="s">
        <v>63</v>
      </c>
      <c r="N5" s="128" t="s">
        <v>64</v>
      </c>
      <c r="O5" s="128" t="s">
        <v>65</v>
      </c>
      <c r="P5" s="128" t="s">
        <v>99</v>
      </c>
      <c r="Q5" s="128" t="s">
        <v>98</v>
      </c>
      <c r="R5" s="139" t="s">
        <v>68</v>
      </c>
      <c r="S5" s="139"/>
      <c r="T5" s="139"/>
      <c r="U5" s="128" t="s">
        <v>69</v>
      </c>
      <c r="V5" s="128" t="s">
        <v>70</v>
      </c>
      <c r="W5" s="172" t="s">
        <v>102</v>
      </c>
      <c r="X5" s="173"/>
      <c r="Y5" s="173"/>
      <c r="Z5" s="174"/>
      <c r="AA5" s="134" t="s">
        <v>74</v>
      </c>
      <c r="AB5" s="164"/>
      <c r="AC5" s="167"/>
      <c r="AD5" s="58"/>
    </row>
    <row r="6" spans="2:30" ht="12">
      <c r="B6" s="151"/>
      <c r="C6" s="154"/>
      <c r="D6" s="157"/>
      <c r="E6" s="159"/>
      <c r="F6" s="144"/>
      <c r="G6" s="141"/>
      <c r="H6" s="141"/>
      <c r="I6" s="129"/>
      <c r="J6" s="129"/>
      <c r="K6" s="129"/>
      <c r="L6" s="129"/>
      <c r="M6" s="129"/>
      <c r="N6" s="129"/>
      <c r="O6" s="129"/>
      <c r="P6" s="129"/>
      <c r="Q6" s="129"/>
      <c r="R6" s="139"/>
      <c r="S6" s="139"/>
      <c r="T6" s="139"/>
      <c r="U6" s="129"/>
      <c r="V6" s="129"/>
      <c r="W6" s="175"/>
      <c r="X6" s="176"/>
      <c r="Y6" s="176"/>
      <c r="Z6" s="177"/>
      <c r="AA6" s="134"/>
      <c r="AB6" s="164"/>
      <c r="AC6" s="167"/>
      <c r="AD6" s="58"/>
    </row>
    <row r="7" spans="2:30" ht="12">
      <c r="B7" s="151"/>
      <c r="C7" s="154"/>
      <c r="D7" s="157"/>
      <c r="E7" s="159"/>
      <c r="F7" s="144"/>
      <c r="G7" s="141"/>
      <c r="H7" s="141"/>
      <c r="I7" s="129"/>
      <c r="J7" s="129"/>
      <c r="K7" s="129"/>
      <c r="L7" s="129"/>
      <c r="M7" s="129"/>
      <c r="N7" s="129"/>
      <c r="O7" s="129"/>
      <c r="P7" s="129"/>
      <c r="Q7" s="129"/>
      <c r="R7" s="128" t="s">
        <v>77</v>
      </c>
      <c r="S7" s="128" t="s">
        <v>78</v>
      </c>
      <c r="T7" s="128" t="s">
        <v>79</v>
      </c>
      <c r="U7" s="129"/>
      <c r="V7" s="129"/>
      <c r="W7" s="175"/>
      <c r="X7" s="176"/>
      <c r="Y7" s="176"/>
      <c r="Z7" s="177"/>
      <c r="AA7" s="134"/>
      <c r="AB7" s="164"/>
      <c r="AC7" s="167"/>
      <c r="AD7" s="58"/>
    </row>
    <row r="8" spans="2:30" ht="12">
      <c r="B8" s="151"/>
      <c r="C8" s="154"/>
      <c r="D8" s="157"/>
      <c r="E8" s="159"/>
      <c r="F8" s="144"/>
      <c r="G8" s="141"/>
      <c r="H8" s="141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75"/>
      <c r="X8" s="176"/>
      <c r="Y8" s="176"/>
      <c r="Z8" s="177"/>
      <c r="AA8" s="134"/>
      <c r="AB8" s="164"/>
      <c r="AC8" s="167"/>
      <c r="AD8" s="58"/>
    </row>
    <row r="9" spans="2:30" ht="12">
      <c r="B9" s="151"/>
      <c r="C9" s="154"/>
      <c r="D9" s="157"/>
      <c r="E9" s="159"/>
      <c r="F9" s="144"/>
      <c r="G9" s="141"/>
      <c r="H9" s="141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75"/>
      <c r="X9" s="176"/>
      <c r="Y9" s="176"/>
      <c r="Z9" s="177"/>
      <c r="AA9" s="134"/>
      <c r="AB9" s="164"/>
      <c r="AC9" s="167"/>
      <c r="AD9" s="58"/>
    </row>
    <row r="10" spans="2:30" ht="12">
      <c r="B10" s="151"/>
      <c r="C10" s="154"/>
      <c r="D10" s="157"/>
      <c r="E10" s="159"/>
      <c r="F10" s="144"/>
      <c r="G10" s="141"/>
      <c r="H10" s="141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75"/>
      <c r="X10" s="176"/>
      <c r="Y10" s="176"/>
      <c r="Z10" s="177"/>
      <c r="AA10" s="134"/>
      <c r="AB10" s="164"/>
      <c r="AC10" s="167"/>
      <c r="AD10" s="58"/>
    </row>
    <row r="11" spans="2:30" ht="12">
      <c r="B11" s="151"/>
      <c r="C11" s="154"/>
      <c r="D11" s="157"/>
      <c r="E11" s="159"/>
      <c r="F11" s="144"/>
      <c r="G11" s="141"/>
      <c r="H11" s="141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75"/>
      <c r="X11" s="176"/>
      <c r="Y11" s="176"/>
      <c r="Z11" s="177"/>
      <c r="AA11" s="134"/>
      <c r="AB11" s="164"/>
      <c r="AC11" s="167"/>
      <c r="AD11" s="58"/>
    </row>
    <row r="12" spans="2:30" ht="12">
      <c r="B12" s="151"/>
      <c r="C12" s="154"/>
      <c r="D12" s="157"/>
      <c r="E12" s="159"/>
      <c r="F12" s="144"/>
      <c r="G12" s="141"/>
      <c r="H12" s="141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78"/>
      <c r="X12" s="179"/>
      <c r="Y12" s="179"/>
      <c r="Z12" s="180"/>
      <c r="AA12" s="134"/>
      <c r="AB12" s="164"/>
      <c r="AC12" s="167"/>
      <c r="AD12" s="58"/>
    </row>
    <row r="13" spans="2:30" ht="12">
      <c r="B13" s="151"/>
      <c r="C13" s="154"/>
      <c r="D13" s="157"/>
      <c r="E13" s="159"/>
      <c r="F13" s="144"/>
      <c r="G13" s="141"/>
      <c r="H13" s="141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60"/>
      <c r="X13" s="60"/>
      <c r="Y13" s="129" t="s">
        <v>72</v>
      </c>
      <c r="Z13" s="181" t="s">
        <v>73</v>
      </c>
      <c r="AA13" s="134"/>
      <c r="AB13" s="164"/>
      <c r="AC13" s="167"/>
      <c r="AD13" s="58"/>
    </row>
    <row r="14" spans="2:30" ht="12">
      <c r="B14" s="151"/>
      <c r="C14" s="154"/>
      <c r="D14" s="157"/>
      <c r="E14" s="159"/>
      <c r="F14" s="144"/>
      <c r="G14" s="141"/>
      <c r="H14" s="141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60"/>
      <c r="X14" s="129" t="s">
        <v>71</v>
      </c>
      <c r="Y14" s="129"/>
      <c r="Z14" s="181"/>
      <c r="AA14" s="134"/>
      <c r="AB14" s="164"/>
      <c r="AC14" s="167"/>
      <c r="AD14" s="58"/>
    </row>
    <row r="15" spans="2:30" ht="12">
      <c r="B15" s="151"/>
      <c r="C15" s="154"/>
      <c r="D15" s="157"/>
      <c r="E15" s="159"/>
      <c r="F15" s="144"/>
      <c r="G15" s="141"/>
      <c r="H15" s="141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60"/>
      <c r="X15" s="129"/>
      <c r="Y15" s="129"/>
      <c r="Z15" s="181"/>
      <c r="AA15" s="134"/>
      <c r="AB15" s="164"/>
      <c r="AC15" s="167"/>
      <c r="AD15" s="58"/>
    </row>
    <row r="16" spans="2:30" ht="12">
      <c r="B16" s="151"/>
      <c r="C16" s="154"/>
      <c r="D16" s="157"/>
      <c r="E16" s="159"/>
      <c r="F16" s="144"/>
      <c r="G16" s="141"/>
      <c r="H16" s="141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60"/>
      <c r="X16" s="129"/>
      <c r="Y16" s="129"/>
      <c r="Z16" s="181"/>
      <c r="AA16" s="134"/>
      <c r="AB16" s="164"/>
      <c r="AC16" s="167"/>
      <c r="AD16" s="58"/>
    </row>
    <row r="17" spans="2:30" ht="67.5" customHeight="1">
      <c r="B17" s="152"/>
      <c r="C17" s="155"/>
      <c r="D17" s="157"/>
      <c r="E17" s="160"/>
      <c r="F17" s="144"/>
      <c r="G17" s="142"/>
      <c r="H17" s="142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61" t="s">
        <v>100</v>
      </c>
      <c r="X17" s="130"/>
      <c r="Y17" s="130"/>
      <c r="Z17" s="182"/>
      <c r="AA17" s="134"/>
      <c r="AB17" s="165"/>
      <c r="AC17" s="168"/>
      <c r="AD17" s="58"/>
    </row>
    <row r="18" spans="2:31" ht="12">
      <c r="B18" s="107"/>
      <c r="C18" s="90"/>
      <c r="D18" s="64"/>
      <c r="E18" s="65"/>
      <c r="F18" s="66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65"/>
      <c r="AC18" s="108"/>
      <c r="AD18" s="101" t="s">
        <v>96</v>
      </c>
      <c r="AE18" s="82" t="s">
        <v>97</v>
      </c>
    </row>
    <row r="19" spans="2:31" ht="12">
      <c r="B19" s="107"/>
      <c r="C19" s="99" t="s">
        <v>28</v>
      </c>
      <c r="D19" s="93">
        <v>390.9</v>
      </c>
      <c r="E19" s="94">
        <f>16.9*D19</f>
        <v>6606.209999999999</v>
      </c>
      <c r="F19" s="95">
        <f>'затраты помес'!F19+'затраты помес'!G19+'затраты помес'!H19+'затраты помес'!J19+'затраты помес'!K19</f>
        <v>2175.3756995999997</v>
      </c>
      <c r="G19" s="96"/>
      <c r="H19" s="96"/>
      <c r="I19" s="96"/>
      <c r="J19" s="96">
        <f>0.7*D19</f>
        <v>273.62999999999994</v>
      </c>
      <c r="K19" s="96"/>
      <c r="L19" s="96"/>
      <c r="M19" s="96"/>
      <c r="N19" s="96"/>
      <c r="O19" s="96">
        <v>1550</v>
      </c>
      <c r="P19" s="96">
        <f>2*AD19</f>
        <v>459.604802</v>
      </c>
      <c r="Q19" s="96">
        <f>0.81*D19</f>
        <v>316.629</v>
      </c>
      <c r="R19" s="96"/>
      <c r="S19" s="96"/>
      <c r="T19" s="96"/>
      <c r="U19" s="96"/>
      <c r="V19" s="96"/>
      <c r="W19" s="96"/>
      <c r="X19" s="96"/>
      <c r="Y19" s="96"/>
      <c r="Z19" s="96"/>
      <c r="AA19" s="95"/>
      <c r="AB19" s="96">
        <f>F19+G19+H19+I19+J19+K19+L19+M19+N19+O19+P19+Q19+R19+S19+T19+U19+V19+X19+Y19+Z19+AA19</f>
        <v>4775.2395016</v>
      </c>
      <c r="AC19" s="109">
        <f>E19-AB19</f>
        <v>1830.970498399999</v>
      </c>
      <c r="AD19" s="102">
        <v>229.802401</v>
      </c>
      <c r="AE19" s="82">
        <v>309.3096599</v>
      </c>
    </row>
    <row r="20" spans="2:32" ht="12">
      <c r="B20" s="107"/>
      <c r="C20" s="99" t="s">
        <v>81</v>
      </c>
      <c r="D20" s="93">
        <v>390.9</v>
      </c>
      <c r="E20" s="94">
        <f aca="true" t="shared" si="0" ref="E20:E33">16.9*D20</f>
        <v>6606.209999999999</v>
      </c>
      <c r="F20" s="95">
        <f>'затраты помес'!F20+'затраты помес'!G20+'затраты помес'!H20+'затраты помес'!J20+'затраты помес'!K20</f>
        <v>2501.5923039</v>
      </c>
      <c r="G20" s="96"/>
      <c r="H20" s="96"/>
      <c r="I20" s="96"/>
      <c r="J20" s="96">
        <f>0.7*D20</f>
        <v>273.62999999999994</v>
      </c>
      <c r="K20" s="96"/>
      <c r="L20" s="96"/>
      <c r="M20" s="96"/>
      <c r="N20" s="96"/>
      <c r="O20" s="96"/>
      <c r="P20" s="96"/>
      <c r="Q20" s="96">
        <f>0.81*D20</f>
        <v>316.629</v>
      </c>
      <c r="R20" s="96"/>
      <c r="S20" s="96"/>
      <c r="T20" s="96"/>
      <c r="U20" s="96"/>
      <c r="V20" s="96"/>
      <c r="W20" s="96"/>
      <c r="X20" s="96"/>
      <c r="Y20" s="96"/>
      <c r="Z20" s="95"/>
      <c r="AA20" s="95"/>
      <c r="AB20" s="96">
        <f>F20+G20+H20+I20+J20+K20+L20+M20+N20+O20+P20+Q20+R20+S20+T20+U20+V20+X20+Y20+Z20+AA20</f>
        <v>3091.8513039</v>
      </c>
      <c r="AC20" s="109">
        <f>E20-AB20</f>
        <v>3514.358696099999</v>
      </c>
      <c r="AD20" s="103">
        <v>170.418065</v>
      </c>
      <c r="AE20" s="84">
        <v>234.3738144</v>
      </c>
      <c r="AF20" s="84">
        <v>186.73925</v>
      </c>
    </row>
    <row r="21" spans="2:32" ht="12">
      <c r="B21" s="107"/>
      <c r="C21" s="99" t="s">
        <v>82</v>
      </c>
      <c r="D21" s="93">
        <v>390.9</v>
      </c>
      <c r="E21" s="94">
        <f t="shared" si="0"/>
        <v>6606.209999999999</v>
      </c>
      <c r="F21" s="95">
        <f>'затраты помес'!F21+'затраты помес'!G21+'затраты помес'!H21+'затраты помес'!J21+'затраты помес'!K21</f>
        <v>2209.2018402</v>
      </c>
      <c r="G21" s="96"/>
      <c r="H21" s="96"/>
      <c r="I21" s="96"/>
      <c r="J21" s="96">
        <f>0.7*D21</f>
        <v>273.62999999999994</v>
      </c>
      <c r="K21" s="96"/>
      <c r="L21" s="96"/>
      <c r="M21" s="96"/>
      <c r="N21" s="96"/>
      <c r="O21" s="96">
        <f>2*AF21</f>
        <v>473.625</v>
      </c>
      <c r="P21" s="96"/>
      <c r="Q21" s="96">
        <f>0.81*D21</f>
        <v>316.629</v>
      </c>
      <c r="R21" s="96"/>
      <c r="S21" s="96"/>
      <c r="T21" s="96"/>
      <c r="U21" s="96"/>
      <c r="V21" s="96"/>
      <c r="W21" s="96"/>
      <c r="X21" s="96"/>
      <c r="Y21" s="96"/>
      <c r="Z21" s="96"/>
      <c r="AA21" s="95"/>
      <c r="AB21" s="96">
        <f>F21+G21+H21+I21+J21+K21+L21+M21+N21+O21+P21+Q21+R21+S21+T21+U21+V21+X21+Y21+Z21+AA21</f>
        <v>3273.0858402</v>
      </c>
      <c r="AC21" s="109">
        <f>E21-AB21</f>
        <v>3333.1241597999992</v>
      </c>
      <c r="AD21" s="102">
        <v>172.949351</v>
      </c>
      <c r="AE21" s="82">
        <v>175.2352941</v>
      </c>
      <c r="AF21" s="82">
        <v>236.8125</v>
      </c>
    </row>
    <row r="22" spans="2:30" ht="12.75">
      <c r="B22" s="107"/>
      <c r="C22" s="91" t="s">
        <v>83</v>
      </c>
      <c r="D22" s="64"/>
      <c r="E22" s="97">
        <f>E19+E20+E21</f>
        <v>19818.629999999997</v>
      </c>
      <c r="F22" s="97">
        <f aca="true" t="shared" si="1" ref="F22:AC22">F19+F20+F21</f>
        <v>6886.1698437</v>
      </c>
      <c r="G22" s="97">
        <f t="shared" si="1"/>
        <v>0</v>
      </c>
      <c r="H22" s="97">
        <f t="shared" si="1"/>
        <v>0</v>
      </c>
      <c r="I22" s="97">
        <f t="shared" si="1"/>
        <v>0</v>
      </c>
      <c r="J22" s="97">
        <f t="shared" si="1"/>
        <v>820.8899999999999</v>
      </c>
      <c r="K22" s="97">
        <f t="shared" si="1"/>
        <v>0</v>
      </c>
      <c r="L22" s="97">
        <f t="shared" si="1"/>
        <v>0</v>
      </c>
      <c r="M22" s="97">
        <f t="shared" si="1"/>
        <v>0</v>
      </c>
      <c r="N22" s="97">
        <f t="shared" si="1"/>
        <v>0</v>
      </c>
      <c r="O22" s="97">
        <f t="shared" si="1"/>
        <v>2023.625</v>
      </c>
      <c r="P22" s="97">
        <f t="shared" si="1"/>
        <v>459.604802</v>
      </c>
      <c r="Q22" s="97">
        <f t="shared" si="1"/>
        <v>949.8870000000001</v>
      </c>
      <c r="R22" s="97">
        <f t="shared" si="1"/>
        <v>0</v>
      </c>
      <c r="S22" s="97">
        <f t="shared" si="1"/>
        <v>0</v>
      </c>
      <c r="T22" s="97">
        <f t="shared" si="1"/>
        <v>0</v>
      </c>
      <c r="U22" s="97">
        <f t="shared" si="1"/>
        <v>0</v>
      </c>
      <c r="V22" s="97">
        <f t="shared" si="1"/>
        <v>0</v>
      </c>
      <c r="W22" s="97">
        <f t="shared" si="1"/>
        <v>0</v>
      </c>
      <c r="X22" s="97">
        <f t="shared" si="1"/>
        <v>0</v>
      </c>
      <c r="Y22" s="97">
        <f t="shared" si="1"/>
        <v>0</v>
      </c>
      <c r="Z22" s="97">
        <f t="shared" si="1"/>
        <v>0</v>
      </c>
      <c r="AA22" s="97">
        <f t="shared" si="1"/>
        <v>0</v>
      </c>
      <c r="AB22" s="97">
        <f t="shared" si="1"/>
        <v>11140.1766457</v>
      </c>
      <c r="AC22" s="110">
        <f t="shared" si="1"/>
        <v>8678.453354299998</v>
      </c>
      <c r="AD22" s="67"/>
    </row>
    <row r="23" spans="2:33" ht="12">
      <c r="B23" s="107"/>
      <c r="C23" s="99" t="s">
        <v>84</v>
      </c>
      <c r="D23" s="93">
        <v>390.9</v>
      </c>
      <c r="E23" s="94">
        <f t="shared" si="0"/>
        <v>6606.209999999999</v>
      </c>
      <c r="F23" s="95">
        <f>'затраты помес'!F23+'затраты помес'!G23+'затраты помес'!H23+'затраты помес'!K23</f>
        <v>1728.8635292999998</v>
      </c>
      <c r="G23" s="96"/>
      <c r="H23" s="96"/>
      <c r="I23" s="96"/>
      <c r="J23" s="96">
        <f>0.7*D23</f>
        <v>273.62999999999994</v>
      </c>
      <c r="K23" s="96"/>
      <c r="L23" s="96"/>
      <c r="M23" s="96"/>
      <c r="N23" s="96"/>
      <c r="O23" s="96">
        <f>AE23</f>
        <v>284.17825</v>
      </c>
      <c r="P23" s="96"/>
      <c r="Q23" s="96">
        <f>0.81*D23</f>
        <v>316.629</v>
      </c>
      <c r="R23" s="96"/>
      <c r="S23" s="96"/>
      <c r="T23" s="96"/>
      <c r="U23" s="96"/>
      <c r="V23" s="96"/>
      <c r="W23" s="96"/>
      <c r="X23" s="96"/>
      <c r="Y23" s="96"/>
      <c r="Z23" s="96"/>
      <c r="AA23" s="95"/>
      <c r="AB23" s="96">
        <f>F23+G23+H23+I23+J23+K23+L23+M23+N23+O23+P23+Q23+R23+S23+T23+U23+V23+W23+X23+Y23+Z23+AA23</f>
        <v>2603.3007792999997</v>
      </c>
      <c r="AC23" s="109">
        <f>E23-AB23</f>
        <v>4002.9092206999994</v>
      </c>
      <c r="AD23" s="101">
        <v>180.376914</v>
      </c>
      <c r="AE23" s="82">
        <v>284.17825</v>
      </c>
      <c r="AF23" s="82">
        <v>407.1071429</v>
      </c>
      <c r="AG23" s="82">
        <v>190.5285938</v>
      </c>
    </row>
    <row r="24" spans="2:31" ht="12">
      <c r="B24" s="107"/>
      <c r="C24" s="99" t="s">
        <v>85</v>
      </c>
      <c r="D24" s="93">
        <v>390.9</v>
      </c>
      <c r="E24" s="94">
        <f t="shared" si="0"/>
        <v>6606.209999999999</v>
      </c>
      <c r="F24" s="95">
        <f>'затраты помес'!F24+'затраты помес'!G24+'затраты помес'!H24+'затраты помес'!K24</f>
        <v>2422.438572</v>
      </c>
      <c r="G24" s="96">
        <f>0.283454*D24</f>
        <v>110.80216859999999</v>
      </c>
      <c r="H24" s="96"/>
      <c r="I24" s="96"/>
      <c r="J24" s="96">
        <f>0.7*D24</f>
        <v>273.62999999999994</v>
      </c>
      <c r="K24" s="96"/>
      <c r="L24" s="96">
        <v>5168.8</v>
      </c>
      <c r="M24" s="96"/>
      <c r="N24" s="96"/>
      <c r="O24" s="96"/>
      <c r="P24" s="96"/>
      <c r="Q24" s="96">
        <f>0.81*D24</f>
        <v>316.629</v>
      </c>
      <c r="R24" s="96"/>
      <c r="S24" s="96"/>
      <c r="T24" s="96"/>
      <c r="U24" s="96"/>
      <c r="V24" s="96"/>
      <c r="W24" s="96"/>
      <c r="X24" s="96"/>
      <c r="Y24" s="96"/>
      <c r="Z24" s="96"/>
      <c r="AA24" s="95"/>
      <c r="AB24" s="96">
        <f>F24+G24+H24+I24+J24+K24+L24+M24+N24+O24+P24+Q24+R24+S24+T24+U24+V24+W24+X24+Y24+Z24+AA24</f>
        <v>8292.299740600001</v>
      </c>
      <c r="AC24" s="109">
        <f>E24-AB24</f>
        <v>-1686.0897406000022</v>
      </c>
      <c r="AD24" s="101">
        <v>261.274768</v>
      </c>
      <c r="AE24" s="82">
        <v>249.827033</v>
      </c>
    </row>
    <row r="25" spans="2:32" ht="12">
      <c r="B25" s="107"/>
      <c r="C25" s="99" t="s">
        <v>86</v>
      </c>
      <c r="D25" s="93">
        <v>390.9</v>
      </c>
      <c r="E25" s="94">
        <f t="shared" si="0"/>
        <v>6606.209999999999</v>
      </c>
      <c r="F25" s="95">
        <f>'затраты помес'!F25+'затраты помес'!G25+'затраты помес'!H25+'затраты помес'!K25</f>
        <v>2497.6207599</v>
      </c>
      <c r="G25" s="96"/>
      <c r="H25" s="96"/>
      <c r="I25" s="96"/>
      <c r="J25" s="96">
        <f>0.7*D25</f>
        <v>273.62999999999994</v>
      </c>
      <c r="K25" s="96"/>
      <c r="L25" s="96">
        <v>6511</v>
      </c>
      <c r="M25" s="96"/>
      <c r="N25" s="96"/>
      <c r="O25" s="96"/>
      <c r="P25" s="96">
        <f>8*AD25+247.04</f>
        <v>1669.736056</v>
      </c>
      <c r="Q25" s="96">
        <f>0.81*D25</f>
        <v>316.629</v>
      </c>
      <c r="R25" s="96"/>
      <c r="S25" s="96">
        <f>8*99</f>
        <v>792</v>
      </c>
      <c r="T25" s="96"/>
      <c r="U25" s="96"/>
      <c r="V25" s="96"/>
      <c r="W25" s="96"/>
      <c r="X25" s="96"/>
      <c r="Y25" s="96"/>
      <c r="Z25" s="96"/>
      <c r="AA25" s="95"/>
      <c r="AB25" s="96">
        <f>F25+G25+H25+I25+J25+K25+L25+M25+N25+O25+P25+Q25+R25+S25+T25+U25+V25+W25+X25+Y25+Z25+AA25</f>
        <v>12060.6158159</v>
      </c>
      <c r="AC25" s="109">
        <f>E25-AB25</f>
        <v>-5454.4058159000015</v>
      </c>
      <c r="AD25" s="101">
        <v>177.837007</v>
      </c>
      <c r="AE25" s="82">
        <v>183.340807</v>
      </c>
      <c r="AF25" s="82">
        <v>197.568</v>
      </c>
    </row>
    <row r="26" spans="2:30" ht="12.75">
      <c r="B26" s="107"/>
      <c r="C26" s="91" t="s">
        <v>87</v>
      </c>
      <c r="D26" s="64"/>
      <c r="E26" s="97">
        <f>E22+E23+E24+E25</f>
        <v>39637.259999999995</v>
      </c>
      <c r="F26" s="97">
        <f aca="true" t="shared" si="2" ref="F26:AC26">F22+F23+F24+F25</f>
        <v>13535.092704899998</v>
      </c>
      <c r="G26" s="97">
        <f t="shared" si="2"/>
        <v>110.80216859999999</v>
      </c>
      <c r="H26" s="97">
        <f t="shared" si="2"/>
        <v>0</v>
      </c>
      <c r="I26" s="97">
        <f t="shared" si="2"/>
        <v>0</v>
      </c>
      <c r="J26" s="97">
        <f t="shared" si="2"/>
        <v>1641.7799999999995</v>
      </c>
      <c r="K26" s="97">
        <f t="shared" si="2"/>
        <v>0</v>
      </c>
      <c r="L26" s="97">
        <f t="shared" si="2"/>
        <v>11679.8</v>
      </c>
      <c r="M26" s="97">
        <f t="shared" si="2"/>
        <v>0</v>
      </c>
      <c r="N26" s="97">
        <f t="shared" si="2"/>
        <v>0</v>
      </c>
      <c r="O26" s="97">
        <f t="shared" si="2"/>
        <v>2307.80325</v>
      </c>
      <c r="P26" s="97">
        <f t="shared" si="2"/>
        <v>2129.340858</v>
      </c>
      <c r="Q26" s="97">
        <f t="shared" si="2"/>
        <v>1899.774</v>
      </c>
      <c r="R26" s="97">
        <f t="shared" si="2"/>
        <v>0</v>
      </c>
      <c r="S26" s="97">
        <f t="shared" si="2"/>
        <v>792</v>
      </c>
      <c r="T26" s="97">
        <f t="shared" si="2"/>
        <v>0</v>
      </c>
      <c r="U26" s="97">
        <f t="shared" si="2"/>
        <v>0</v>
      </c>
      <c r="V26" s="97">
        <f t="shared" si="2"/>
        <v>0</v>
      </c>
      <c r="W26" s="97">
        <f t="shared" si="2"/>
        <v>0</v>
      </c>
      <c r="X26" s="97">
        <f t="shared" si="2"/>
        <v>0</v>
      </c>
      <c r="Y26" s="97">
        <f t="shared" si="2"/>
        <v>0</v>
      </c>
      <c r="Z26" s="97">
        <f t="shared" si="2"/>
        <v>0</v>
      </c>
      <c r="AA26" s="97">
        <f t="shared" si="2"/>
        <v>0</v>
      </c>
      <c r="AB26" s="97">
        <f t="shared" si="2"/>
        <v>34096.3929815</v>
      </c>
      <c r="AC26" s="110">
        <f t="shared" si="2"/>
        <v>5540.867018499994</v>
      </c>
      <c r="AD26" s="67"/>
    </row>
    <row r="27" spans="2:31" ht="12">
      <c r="B27" s="107"/>
      <c r="C27" s="99" t="s">
        <v>88</v>
      </c>
      <c r="D27" s="93">
        <v>390.9</v>
      </c>
      <c r="E27" s="94">
        <f t="shared" si="0"/>
        <v>6606.209999999999</v>
      </c>
      <c r="F27" s="95">
        <f>'затраты помес'!F27+'затраты помес'!G27+'затраты помес'!H27+'затраты помес'!J27+'затраты помес'!K27</f>
        <v>2942.6486829</v>
      </c>
      <c r="G27" s="96"/>
      <c r="H27" s="96"/>
      <c r="I27" s="96"/>
      <c r="J27" s="96">
        <f>0.7*D27</f>
        <v>273.62999999999994</v>
      </c>
      <c r="K27" s="96"/>
      <c r="L27" s="96">
        <f>2389+397.44</f>
        <v>2786.44</v>
      </c>
      <c r="M27" s="96"/>
      <c r="N27" s="96"/>
      <c r="O27" s="96">
        <f>AE27</f>
        <v>204.8131532</v>
      </c>
      <c r="P27" s="96"/>
      <c r="Q27" s="96">
        <f>0.81*D27</f>
        <v>316.629</v>
      </c>
      <c r="R27" s="96"/>
      <c r="S27" s="96"/>
      <c r="T27" s="96"/>
      <c r="U27" s="96"/>
      <c r="V27" s="96"/>
      <c r="W27" s="96"/>
      <c r="X27" s="96"/>
      <c r="Y27" s="96"/>
      <c r="Z27" s="96"/>
      <c r="AA27" s="95"/>
      <c r="AB27" s="96">
        <f>F27+G27+H27+I27+J27+K27+L27+M27+N27+O27+P27+Q27+R27+S27+T27+U27+V27+W27+X27+Y27+Z27+AA27</f>
        <v>6524.1608361</v>
      </c>
      <c r="AC27" s="109">
        <f>E27-AB27</f>
        <v>82.04916389999926</v>
      </c>
      <c r="AD27" s="104">
        <v>183.656139</v>
      </c>
      <c r="AE27" s="82">
        <v>204.8131532</v>
      </c>
    </row>
    <row r="28" spans="2:31" ht="12" customHeight="1">
      <c r="B28" s="107"/>
      <c r="C28" s="100" t="s">
        <v>89</v>
      </c>
      <c r="D28" s="93">
        <v>390.9</v>
      </c>
      <c r="E28" s="94">
        <f t="shared" si="0"/>
        <v>6606.209999999999</v>
      </c>
      <c r="F28" s="95">
        <f>'затраты помес'!F28+'затраты помес'!G28+'затраты помес'!H28+'затраты помес'!J28+'затраты помес'!K28</f>
        <v>3093.0525396</v>
      </c>
      <c r="G28" s="96"/>
      <c r="H28" s="96"/>
      <c r="I28" s="96"/>
      <c r="J28" s="96">
        <f>0.7*D28</f>
        <v>273.62999999999994</v>
      </c>
      <c r="K28" s="96"/>
      <c r="L28" s="96">
        <v>43898</v>
      </c>
      <c r="M28" s="96"/>
      <c r="N28" s="96"/>
      <c r="O28" s="96"/>
      <c r="P28" s="96"/>
      <c r="Q28" s="96">
        <f>0.81*D28</f>
        <v>316.629</v>
      </c>
      <c r="R28" s="96"/>
      <c r="S28" s="96"/>
      <c r="T28" s="96"/>
      <c r="U28" s="96"/>
      <c r="V28" s="96"/>
      <c r="W28" s="96">
        <f>20*AD28+508</f>
        <v>4341.17792</v>
      </c>
      <c r="X28" s="96"/>
      <c r="Y28" s="96">
        <f>20*AD28+90</f>
        <v>3923.17792</v>
      </c>
      <c r="Z28" s="96"/>
      <c r="AA28" s="95"/>
      <c r="AB28" s="96">
        <f>F28+G28+H28+I28+J28+K28+L28+M28+N28+O28+P28+Q28+R28+S28+T28+U28+V28+W28+X28+Y28+Z28+AA28</f>
        <v>55845.6673796</v>
      </c>
      <c r="AC28" s="109">
        <f>E28-AB28</f>
        <v>-49239.457379600004</v>
      </c>
      <c r="AD28" s="101">
        <v>191.658896</v>
      </c>
      <c r="AE28" s="82">
        <v>231.9705102</v>
      </c>
    </row>
    <row r="29" spans="2:31" ht="12">
      <c r="B29" s="107"/>
      <c r="C29" s="100" t="s">
        <v>27</v>
      </c>
      <c r="D29" s="93">
        <v>390.9</v>
      </c>
      <c r="E29" s="94">
        <f t="shared" si="0"/>
        <v>6606.209999999999</v>
      </c>
      <c r="F29" s="95">
        <f>'затраты помес'!F29+'затраты помес'!G29+'затраты помес'!H29+'затраты помес'!J29+'затраты помес'!K29</f>
        <v>2153.886363</v>
      </c>
      <c r="G29" s="96"/>
      <c r="H29" s="96"/>
      <c r="I29" s="96"/>
      <c r="J29" s="96">
        <f>0.7*D29</f>
        <v>273.62999999999994</v>
      </c>
      <c r="K29" s="96"/>
      <c r="L29" s="96"/>
      <c r="M29" s="96"/>
      <c r="N29" s="96"/>
      <c r="O29" s="96">
        <f>AE29</f>
        <v>234.373814432</v>
      </c>
      <c r="P29" s="96"/>
      <c r="Q29" s="96">
        <f>0.81*D29</f>
        <v>316.629</v>
      </c>
      <c r="R29" s="96"/>
      <c r="S29" s="96"/>
      <c r="T29" s="96"/>
      <c r="U29" s="96"/>
      <c r="V29" s="96"/>
      <c r="W29" s="96"/>
      <c r="X29" s="96"/>
      <c r="Y29" s="96"/>
      <c r="Z29" s="96">
        <f>AD29</f>
        <v>216.184146</v>
      </c>
      <c r="AA29" s="95"/>
      <c r="AB29" s="96">
        <f>F29+G29+H29+I29+J29+K29+L29+M29+N29+O29+P29+Q29+R29+S29+T29+U29+V29+W29+X29+Y29+Z29+AA29</f>
        <v>3194.703323432</v>
      </c>
      <c r="AC29" s="109">
        <f>E29-AB29</f>
        <v>3411.506676567999</v>
      </c>
      <c r="AD29" s="101">
        <v>216.184146</v>
      </c>
      <c r="AE29" s="82">
        <v>234.373814432</v>
      </c>
    </row>
    <row r="30" spans="2:30" ht="12.75">
      <c r="B30" s="107"/>
      <c r="C30" s="91" t="s">
        <v>90</v>
      </c>
      <c r="D30" s="64"/>
      <c r="E30" s="97">
        <f aca="true" t="shared" si="3" ref="E30:AC30">E26+E27+E29+E28</f>
        <v>59455.88999999999</v>
      </c>
      <c r="F30" s="97">
        <f t="shared" si="3"/>
        <v>21724.6802904</v>
      </c>
      <c r="G30" s="97">
        <f t="shared" si="3"/>
        <v>110.80216859999999</v>
      </c>
      <c r="H30" s="97">
        <f t="shared" si="3"/>
        <v>0</v>
      </c>
      <c r="I30" s="97">
        <f t="shared" si="3"/>
        <v>0</v>
      </c>
      <c r="J30" s="97">
        <f t="shared" si="3"/>
        <v>2462.6699999999996</v>
      </c>
      <c r="K30" s="97">
        <f t="shared" si="3"/>
        <v>0</v>
      </c>
      <c r="L30" s="97">
        <f t="shared" si="3"/>
        <v>58364.24</v>
      </c>
      <c r="M30" s="97">
        <f t="shared" si="3"/>
        <v>0</v>
      </c>
      <c r="N30" s="97">
        <f t="shared" si="3"/>
        <v>0</v>
      </c>
      <c r="O30" s="97">
        <f t="shared" si="3"/>
        <v>2746.9902176319997</v>
      </c>
      <c r="P30" s="97">
        <f t="shared" si="3"/>
        <v>2129.340858</v>
      </c>
      <c r="Q30" s="97">
        <f t="shared" si="3"/>
        <v>2849.6609999999996</v>
      </c>
      <c r="R30" s="97">
        <f t="shared" si="3"/>
        <v>0</v>
      </c>
      <c r="S30" s="97">
        <f t="shared" si="3"/>
        <v>792</v>
      </c>
      <c r="T30" s="97">
        <f t="shared" si="3"/>
        <v>0</v>
      </c>
      <c r="U30" s="97">
        <f t="shared" si="3"/>
        <v>0</v>
      </c>
      <c r="V30" s="97">
        <f t="shared" si="3"/>
        <v>0</v>
      </c>
      <c r="W30" s="97">
        <f t="shared" si="3"/>
        <v>4341.17792</v>
      </c>
      <c r="X30" s="97">
        <f t="shared" si="3"/>
        <v>0</v>
      </c>
      <c r="Y30" s="97">
        <f t="shared" si="3"/>
        <v>3923.17792</v>
      </c>
      <c r="Z30" s="97">
        <f t="shared" si="3"/>
        <v>216.184146</v>
      </c>
      <c r="AA30" s="97">
        <f t="shared" si="3"/>
        <v>0</v>
      </c>
      <c r="AB30" s="98">
        <f>AB26+AB27+AB28+AB29</f>
        <v>99660.924520632</v>
      </c>
      <c r="AC30" s="110">
        <f t="shared" si="3"/>
        <v>-40205.03452063201</v>
      </c>
      <c r="AD30" s="67"/>
    </row>
    <row r="31" spans="2:31" ht="12">
      <c r="B31" s="111"/>
      <c r="C31" s="99" t="s">
        <v>91</v>
      </c>
      <c r="D31" s="93">
        <v>390.9</v>
      </c>
      <c r="E31" s="94">
        <f t="shared" si="0"/>
        <v>6606.209999999999</v>
      </c>
      <c r="F31" s="95">
        <f>'затраты помес'!F31+'затраты помес'!G31+'затраты помес'!H31+'затраты помес'!J31+'затраты помес'!K31</f>
        <v>2615.1413268</v>
      </c>
      <c r="G31" s="96"/>
      <c r="H31" s="96"/>
      <c r="I31" s="96"/>
      <c r="J31" s="96">
        <f>D31*0.7</f>
        <v>273.62999999999994</v>
      </c>
      <c r="K31" s="96"/>
      <c r="L31" s="96"/>
      <c r="M31" s="96"/>
      <c r="N31" s="96"/>
      <c r="O31" s="96"/>
      <c r="P31" s="96"/>
      <c r="Q31" s="96">
        <f>0.81*D31</f>
        <v>316.629</v>
      </c>
      <c r="R31" s="96"/>
      <c r="S31" s="96"/>
      <c r="T31" s="96"/>
      <c r="U31" s="96"/>
      <c r="V31" s="96"/>
      <c r="W31" s="96"/>
      <c r="X31" s="96">
        <f>10*AD31+863+397.15</f>
        <v>3234.0182600000003</v>
      </c>
      <c r="Y31" s="96"/>
      <c r="Z31" s="96"/>
      <c r="AA31" s="95"/>
      <c r="AB31" s="96">
        <f>F31+G31+H31+I31+J31+K31+L31+M31+N31+O31+P31+Q31+R31+S31+T31+U31+V31+X31+Y31+Z31+AA31</f>
        <v>6439.4185868</v>
      </c>
      <c r="AC31" s="109">
        <f>E31-AB31</f>
        <v>166.79141319999871</v>
      </c>
      <c r="AD31" s="102">
        <v>197.386826</v>
      </c>
      <c r="AE31" s="82">
        <v>244.4544086</v>
      </c>
    </row>
    <row r="32" spans="2:31" ht="12">
      <c r="B32" s="111"/>
      <c r="C32" s="99" t="s">
        <v>92</v>
      </c>
      <c r="D32" s="93">
        <v>390.9</v>
      </c>
      <c r="E32" s="94">
        <f t="shared" si="0"/>
        <v>6606.209999999999</v>
      </c>
      <c r="F32" s="95">
        <f>'затраты помес'!F32+'затраты помес'!G32+'затраты помес'!H32+'затраты помес'!J32+'затраты помес'!K32</f>
        <v>2741.1616233</v>
      </c>
      <c r="G32" s="96"/>
      <c r="H32" s="96"/>
      <c r="I32" s="96"/>
      <c r="J32" s="96">
        <f>D32*0.7</f>
        <v>273.62999999999994</v>
      </c>
      <c r="K32" s="96"/>
      <c r="L32" s="96"/>
      <c r="M32" s="96"/>
      <c r="N32" s="96"/>
      <c r="O32" s="96">
        <f>2*AE32</f>
        <v>516.6877272</v>
      </c>
      <c r="P32" s="96"/>
      <c r="Q32" s="96">
        <f>0.81*D32</f>
        <v>316.629</v>
      </c>
      <c r="R32" s="96"/>
      <c r="S32" s="96"/>
      <c r="T32" s="96"/>
      <c r="U32" s="96"/>
      <c r="V32" s="96"/>
      <c r="W32" s="96"/>
      <c r="X32" s="96"/>
      <c r="Y32" s="96"/>
      <c r="Z32" s="96"/>
      <c r="AA32" s="95"/>
      <c r="AB32" s="96">
        <f>F32+G32+H32+I32+J32+K32+L32+M32+N32+O32+P32+Q32+R32+S32+T32+U32+V32+X32+Y32+Z32+AA32</f>
        <v>3848.1083505</v>
      </c>
      <c r="AC32" s="109">
        <f>E32-AB32</f>
        <v>2758.101649499999</v>
      </c>
      <c r="AD32" s="105">
        <v>189.737215</v>
      </c>
      <c r="AE32" s="86">
        <v>258.3438636</v>
      </c>
    </row>
    <row r="33" spans="2:31" ht="12">
      <c r="B33" s="111"/>
      <c r="C33" s="99" t="s">
        <v>93</v>
      </c>
      <c r="D33" s="93">
        <v>390.9</v>
      </c>
      <c r="E33" s="94">
        <f t="shared" si="0"/>
        <v>6606.209999999999</v>
      </c>
      <c r="F33" s="95">
        <f>'затраты помес'!F33+'затраты помес'!G33+'затраты помес'!H33+'затраты помес'!J33+'затраты помес'!K33</f>
        <v>5537.150839164599</v>
      </c>
      <c r="G33" s="96">
        <v>110.8033413</v>
      </c>
      <c r="H33" s="96"/>
      <c r="I33" s="96"/>
      <c r="J33" s="96">
        <f>D33*0.7</f>
        <v>273.62999999999994</v>
      </c>
      <c r="K33" s="96"/>
      <c r="L33" s="96"/>
      <c r="M33" s="96"/>
      <c r="N33" s="96"/>
      <c r="O33" s="96"/>
      <c r="P33" s="96"/>
      <c r="Q33" s="96">
        <f>0.81*D33</f>
        <v>316.629</v>
      </c>
      <c r="R33" s="96"/>
      <c r="S33" s="96"/>
      <c r="T33" s="96"/>
      <c r="U33" s="96"/>
      <c r="V33" s="96"/>
      <c r="W33" s="96"/>
      <c r="X33" s="96"/>
      <c r="Y33" s="96"/>
      <c r="Z33" s="96"/>
      <c r="AA33" s="95"/>
      <c r="AB33" s="96">
        <f>F33+G33+H33+I33+J33+K33+L33+M33+N33+O33+P33+Q33+R33+S33+T33+U33+V33+X33+Y33+Z33+AA33</f>
        <v>6238.2131804646</v>
      </c>
      <c r="AC33" s="109">
        <f>E33-AB33</f>
        <v>367.9968195353995</v>
      </c>
      <c r="AD33" s="106">
        <v>178.645257</v>
      </c>
      <c r="AE33" s="88">
        <v>186.3463934</v>
      </c>
    </row>
    <row r="34" spans="2:29" ht="13.5" thickBot="1">
      <c r="B34" s="169" t="s">
        <v>94</v>
      </c>
      <c r="C34" s="170"/>
      <c r="D34" s="171"/>
      <c r="E34" s="112">
        <f>E30+E31+E32+E33</f>
        <v>79274.51999999999</v>
      </c>
      <c r="F34" s="112">
        <f aca="true" t="shared" si="4" ref="F34:AB34">F30+F31+F32+F33</f>
        <v>32618.134079664596</v>
      </c>
      <c r="G34" s="112">
        <f t="shared" si="4"/>
        <v>221.6055099</v>
      </c>
      <c r="H34" s="112">
        <f t="shared" si="4"/>
        <v>0</v>
      </c>
      <c r="I34" s="112">
        <f t="shared" si="4"/>
        <v>0</v>
      </c>
      <c r="J34" s="112">
        <f t="shared" si="4"/>
        <v>3283.56</v>
      </c>
      <c r="K34" s="112">
        <f t="shared" si="4"/>
        <v>0</v>
      </c>
      <c r="L34" s="112">
        <f t="shared" si="4"/>
        <v>58364.24</v>
      </c>
      <c r="M34" s="112">
        <f t="shared" si="4"/>
        <v>0</v>
      </c>
      <c r="N34" s="112">
        <f t="shared" si="4"/>
        <v>0</v>
      </c>
      <c r="O34" s="112">
        <f t="shared" si="4"/>
        <v>3263.677944832</v>
      </c>
      <c r="P34" s="112">
        <f t="shared" si="4"/>
        <v>2129.340858</v>
      </c>
      <c r="Q34" s="112">
        <f t="shared" si="4"/>
        <v>3799.5479999999993</v>
      </c>
      <c r="R34" s="112">
        <f t="shared" si="4"/>
        <v>0</v>
      </c>
      <c r="S34" s="112">
        <f t="shared" si="4"/>
        <v>792</v>
      </c>
      <c r="T34" s="112">
        <f t="shared" si="4"/>
        <v>0</v>
      </c>
      <c r="U34" s="112">
        <f t="shared" si="4"/>
        <v>0</v>
      </c>
      <c r="V34" s="112">
        <f t="shared" si="4"/>
        <v>0</v>
      </c>
      <c r="W34" s="112">
        <f t="shared" si="4"/>
        <v>4341.17792</v>
      </c>
      <c r="X34" s="112">
        <f t="shared" si="4"/>
        <v>3234.0182600000003</v>
      </c>
      <c r="Y34" s="112">
        <f t="shared" si="4"/>
        <v>3923.17792</v>
      </c>
      <c r="Z34" s="112">
        <f t="shared" si="4"/>
        <v>216.184146</v>
      </c>
      <c r="AA34" s="112">
        <f t="shared" si="4"/>
        <v>0</v>
      </c>
      <c r="AB34" s="112">
        <f t="shared" si="4"/>
        <v>116186.66463839661</v>
      </c>
      <c r="AC34" s="113">
        <f>E34-AB34</f>
        <v>-36912.144638396625</v>
      </c>
    </row>
    <row r="36" ht="12">
      <c r="L36" s="118"/>
    </row>
    <row r="37" spans="12:24" ht="12">
      <c r="L37" s="118"/>
      <c r="X37" s="89"/>
    </row>
  </sheetData>
  <sheetProtection/>
  <mergeCells count="34">
    <mergeCell ref="U5:U17"/>
    <mergeCell ref="V5:V17"/>
    <mergeCell ref="AA5:AA17"/>
    <mergeCell ref="R7:R17"/>
    <mergeCell ref="S7:S17"/>
    <mergeCell ref="T7:T17"/>
    <mergeCell ref="W5:Z12"/>
    <mergeCell ref="Z13:Z17"/>
    <mergeCell ref="M5:M17"/>
    <mergeCell ref="N5:N17"/>
    <mergeCell ref="O5:O17"/>
    <mergeCell ref="P5:P17"/>
    <mergeCell ref="Q5:Q17"/>
    <mergeCell ref="R5:T6"/>
    <mergeCell ref="B34:D34"/>
    <mergeCell ref="B1:AD1"/>
    <mergeCell ref="B2:AD2"/>
    <mergeCell ref="B3:AC3"/>
    <mergeCell ref="B4:B17"/>
    <mergeCell ref="C4:C17"/>
    <mergeCell ref="H5:H17"/>
    <mergeCell ref="I5:I17"/>
    <mergeCell ref="J5:J17"/>
    <mergeCell ref="K5:K17"/>
    <mergeCell ref="D4:D17"/>
    <mergeCell ref="E4:E17"/>
    <mergeCell ref="F4:AA4"/>
    <mergeCell ref="AB4:AB17"/>
    <mergeCell ref="AC4:AC17"/>
    <mergeCell ref="F5:F17"/>
    <mergeCell ref="G5:G17"/>
    <mergeCell ref="X14:X17"/>
    <mergeCell ref="Y13:Y17"/>
    <mergeCell ref="L5:L17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2023-02-20T07:59:32Z</cp:lastPrinted>
  <dcterms:created xsi:type="dcterms:W3CDTF">1996-10-08T23:32:33Z</dcterms:created>
  <dcterms:modified xsi:type="dcterms:W3CDTF">2023-02-27T07:01:27Z</dcterms:modified>
  <cp:category/>
  <cp:version/>
  <cp:contentType/>
  <cp:contentStatus/>
</cp:coreProperties>
</file>